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35" windowWidth="17460" windowHeight="8955" tabRatio="920" activeTab="10"/>
  </bookViews>
  <sheets>
    <sheet name="Schedule 1" sheetId="1" r:id="rId1"/>
    <sheet name="Schedule 2" sheetId="2" r:id="rId2"/>
    <sheet name="Schedule 3" sheetId="3" r:id="rId3"/>
    <sheet name="Schedule 4" sheetId="5" r:id="rId4"/>
    <sheet name="Schedule 5" sheetId="19" r:id="rId5"/>
    <sheet name="StLgt Assets" sheetId="20" state="hidden" r:id="rId6"/>
    <sheet name="Schedule 6" sheetId="7" r:id="rId7"/>
    <sheet name="Schedule 7" sheetId="9" r:id="rId8"/>
    <sheet name="Schedule 8" sheetId="8" r:id="rId9"/>
    <sheet name="Rates 2005 04 01" sheetId="4" state="hidden" r:id="rId10"/>
    <sheet name="Schedule 9" sheetId="14" r:id="rId11"/>
    <sheet name="Rates 2007 01 01" sheetId="17" state="hidden" r:id="rId12"/>
    <sheet name="2005 Stlgt Rates" sheetId="11" state="hidden" r:id="rId13"/>
    <sheet name="2006 Stlgt Rates" sheetId="13" state="hidden" r:id="rId14"/>
    <sheet name="2007 Stlgt Rates" sheetId="16" state="hidden" r:id="rId15"/>
    <sheet name="2005 Rev Analysis" sheetId="12" state="hidden" r:id="rId16"/>
    <sheet name="2006 Rev Analysis" sheetId="15" state="hidden" r:id="rId17"/>
    <sheet name="2007 Rev Analysis" sheetId="18" state="hidden" r:id="rId18"/>
  </sheets>
  <definedNames>
    <definedName name="_xlnm.Print_Area" localSheetId="15">'2005 Rev Analysis'!$A$12:$K$139</definedName>
    <definedName name="_xlnm.Print_Area" localSheetId="12">'2005 Stlgt Rates'!$A$12:$J$174</definedName>
    <definedName name="_xlnm.Print_Area" localSheetId="16">'2006 Rev Analysis'!$M$12:$U$139</definedName>
    <definedName name="_xlnm.Print_Area" localSheetId="13">'2006 Stlgt Rates'!$A$12:$J$174</definedName>
    <definedName name="_xlnm.Print_Area" localSheetId="17">'2007 Rev Analysis'!$B$14:$K$141</definedName>
    <definedName name="_xlnm.Print_Area" localSheetId="14">'2007 Stlgt Rates'!$A$12:$J$174</definedName>
    <definedName name="_xlnm.Print_Area" localSheetId="9">'Rates 2005 04 01'!$D$8:$Q$158</definedName>
    <definedName name="_xlnm.Print_Area" localSheetId="11">'Rates 2007 01 01'!$A$12:$L$159</definedName>
    <definedName name="_xlnm.Print_Area" localSheetId="0">'Schedule 1'!$A$1:$F$73</definedName>
    <definedName name="_xlnm.Print_Area" localSheetId="1">'Schedule 2'!$A$1:$H$30</definedName>
    <definedName name="_xlnm.Print_Area" localSheetId="2">'Schedule 3'!$A$1:$F$64</definedName>
    <definedName name="_xlnm.Print_Area" localSheetId="3">'Schedule 4'!$A$1:$H$42</definedName>
    <definedName name="_xlnm.Print_Area" localSheetId="4">'Schedule 5'!$A$1:$G$48</definedName>
    <definedName name="_xlnm.Print_Area" localSheetId="6">'Schedule 6'!$A$1:$I$36</definedName>
    <definedName name="_xlnm.Print_Area" localSheetId="7">'Schedule 7'!$A$9:$D$143</definedName>
    <definedName name="_xlnm.Print_Area" localSheetId="8">'Schedule 8'!$A$1:$F$26</definedName>
    <definedName name="_xlnm.Print_Area" localSheetId="10">'Schedule 9'!$D$12:$L$159</definedName>
    <definedName name="_xlnm.Print_Area">'Schedule 1'!$A$2:$C$73</definedName>
    <definedName name="_xlnm.Print_Titles" localSheetId="15">'2005 Rev Analysis'!$1:$11</definedName>
    <definedName name="_xlnm.Print_Titles" localSheetId="12">'2005 Stlgt Rates'!$1:$11</definedName>
    <definedName name="_xlnm.Print_Titles" localSheetId="16">'2006 Rev Analysis'!$A:$A,'2006 Rev Analysis'!$1:$11</definedName>
    <definedName name="_xlnm.Print_Titles" localSheetId="13">'2006 Stlgt Rates'!$1:$11</definedName>
    <definedName name="_xlnm.Print_Titles" localSheetId="17">'2007 Rev Analysis'!$A:$A,'2007 Rev Analysis'!$1:$11</definedName>
    <definedName name="_xlnm.Print_Titles" localSheetId="14">'2007 Stlgt Rates'!$1:$11</definedName>
    <definedName name="_xlnm.Print_Titles" localSheetId="9">'Rates 2005 04 01'!$A:$C,'Rates 2005 04 01'!$1:$7</definedName>
    <definedName name="_xlnm.Print_Titles" localSheetId="11">'Rates 2007 01 01'!$A:$C,'Rates 2007 01 01'!$1:$11</definedName>
    <definedName name="_xlnm.Print_Titles" localSheetId="7">'Schedule 7'!$1:$8</definedName>
    <definedName name="_xlnm.Print_Titles" localSheetId="10">'Schedule 9'!$A:$C,'Schedule 9'!$1:$11</definedName>
  </definedNames>
  <calcPr calcId="145621"/>
</workbook>
</file>

<file path=xl/calcChain.xml><?xml version="1.0" encoding="utf-8"?>
<calcChain xmlns="http://schemas.openxmlformats.org/spreadsheetml/2006/main">
  <c r="E9" i="19" l="1"/>
  <c r="E10" i="19"/>
  <c r="E11" i="19"/>
  <c r="E12" i="19"/>
  <c r="C13" i="19"/>
  <c r="E13" i="19"/>
  <c r="G15" i="19"/>
  <c r="E18" i="19"/>
  <c r="E20" i="19"/>
  <c r="G22" i="19" s="1"/>
  <c r="D14" i="7"/>
  <c r="E14" i="7"/>
  <c r="F14" i="7"/>
  <c r="G14" i="7"/>
  <c r="H14" i="7"/>
  <c r="I14" i="7"/>
  <c r="B14" i="7"/>
  <c r="C18" i="3" s="1"/>
  <c r="D11" i="7"/>
  <c r="E11" i="7"/>
  <c r="F11" i="7"/>
  <c r="G11" i="7"/>
  <c r="H11" i="7"/>
  <c r="B11" i="7" s="1"/>
  <c r="C15" i="3" s="1"/>
  <c r="I11" i="7"/>
  <c r="D15" i="3"/>
  <c r="D12" i="7"/>
  <c r="E12" i="7"/>
  <c r="B12" i="7" s="1"/>
  <c r="C16" i="3" s="1"/>
  <c r="F12" i="7"/>
  <c r="G12" i="7"/>
  <c r="H12" i="7"/>
  <c r="I12" i="7"/>
  <c r="D16" i="3"/>
  <c r="D13" i="7"/>
  <c r="E13" i="7"/>
  <c r="F13" i="7"/>
  <c r="B13" i="7" s="1"/>
  <c r="C17" i="3" s="1"/>
  <c r="G13" i="7"/>
  <c r="H13" i="7"/>
  <c r="I13" i="7"/>
  <c r="D17" i="3"/>
  <c r="D18" i="3"/>
  <c r="D15" i="7"/>
  <c r="E15" i="7"/>
  <c r="F15" i="7"/>
  <c r="B15" i="7" s="1"/>
  <c r="C19" i="3" s="1"/>
  <c r="G15" i="7"/>
  <c r="H15" i="7"/>
  <c r="I15" i="7"/>
  <c r="D19" i="3"/>
  <c r="D16" i="7"/>
  <c r="E16" i="7"/>
  <c r="B16" i="7" s="1"/>
  <c r="C20" i="3" s="1"/>
  <c r="F16" i="7"/>
  <c r="G16" i="7"/>
  <c r="H16" i="7"/>
  <c r="I16" i="7"/>
  <c r="D20" i="3"/>
  <c r="D17" i="7"/>
  <c r="E17" i="7"/>
  <c r="F17" i="7"/>
  <c r="G17" i="7"/>
  <c r="H17" i="7"/>
  <c r="B17" i="7" s="1"/>
  <c r="C21" i="3" s="1"/>
  <c r="I17" i="7"/>
  <c r="D21" i="3"/>
  <c r="D18" i="7"/>
  <c r="E18" i="7"/>
  <c r="B18" i="7" s="1"/>
  <c r="C22" i="3" s="1"/>
  <c r="F18" i="7"/>
  <c r="G18" i="7"/>
  <c r="H18" i="7"/>
  <c r="I18" i="7"/>
  <c r="D22" i="3"/>
  <c r="D23" i="3"/>
  <c r="D24" i="3"/>
  <c r="D25" i="3"/>
  <c r="D26" i="3"/>
  <c r="D27" i="3"/>
  <c r="D28" i="3"/>
  <c r="D29" i="3"/>
  <c r="C26" i="7"/>
  <c r="D26" i="7"/>
  <c r="B26" i="7" s="1"/>
  <c r="C30" i="3" s="1"/>
  <c r="B32" i="5" s="1"/>
  <c r="F26" i="7"/>
  <c r="G26" i="7"/>
  <c r="H26" i="7"/>
  <c r="I26" i="7"/>
  <c r="C27" i="7"/>
  <c r="D27" i="7"/>
  <c r="B27" i="7" s="1"/>
  <c r="C31" i="3" s="1"/>
  <c r="B33" i="5" s="1"/>
  <c r="F27" i="7"/>
  <c r="G27" i="7"/>
  <c r="H27" i="7"/>
  <c r="I27" i="7"/>
  <c r="C28" i="7"/>
  <c r="D28" i="7"/>
  <c r="B28" i="7" s="1"/>
  <c r="C32" i="3" s="1"/>
  <c r="F28" i="7"/>
  <c r="G28" i="7"/>
  <c r="H28" i="7"/>
  <c r="I28" i="7"/>
  <c r="D32" i="3"/>
  <c r="C29" i="7"/>
  <c r="D29" i="7"/>
  <c r="B29" i="7" s="1"/>
  <c r="C33" i="3" s="1"/>
  <c r="F29" i="7"/>
  <c r="G29" i="7"/>
  <c r="H29" i="7"/>
  <c r="I29" i="7"/>
  <c r="D33" i="3"/>
  <c r="C30" i="7"/>
  <c r="D30" i="7"/>
  <c r="B30" i="7" s="1"/>
  <c r="C34" i="3" s="1"/>
  <c r="F30" i="7"/>
  <c r="G30" i="7"/>
  <c r="H30" i="7"/>
  <c r="I30" i="7"/>
  <c r="D34" i="3"/>
  <c r="C31" i="7"/>
  <c r="D31" i="7"/>
  <c r="E31" i="7"/>
  <c r="F31" i="7"/>
  <c r="G31" i="7"/>
  <c r="B31" i="7" s="1"/>
  <c r="C35" i="3" s="1"/>
  <c r="H31" i="7"/>
  <c r="I31" i="7"/>
  <c r="D35" i="3"/>
  <c r="C32" i="7"/>
  <c r="B32" i="7" s="1"/>
  <c r="C36" i="3" s="1"/>
  <c r="D32" i="7"/>
  <c r="E32" i="7"/>
  <c r="F32" i="7"/>
  <c r="G32" i="7"/>
  <c r="H32" i="7"/>
  <c r="I32" i="7"/>
  <c r="D36" i="3"/>
  <c r="C33" i="7"/>
  <c r="D33" i="7"/>
  <c r="E33" i="7"/>
  <c r="F33" i="7"/>
  <c r="G33" i="7"/>
  <c r="B33" i="7" s="1"/>
  <c r="C37" i="3" s="1"/>
  <c r="H33" i="7"/>
  <c r="I33" i="7"/>
  <c r="D37" i="3"/>
  <c r="C34" i="7"/>
  <c r="D34" i="7"/>
  <c r="F34" i="7"/>
  <c r="G34" i="7"/>
  <c r="B34" i="7" s="1"/>
  <c r="C38" i="3" s="1"/>
  <c r="H34" i="7"/>
  <c r="I34" i="7"/>
  <c r="D38" i="3"/>
  <c r="C35" i="7"/>
  <c r="D35" i="7"/>
  <c r="F35" i="7"/>
  <c r="G35" i="7"/>
  <c r="B35" i="7" s="1"/>
  <c r="C39" i="3" s="1"/>
  <c r="H35" i="7"/>
  <c r="I35" i="7"/>
  <c r="D39" i="3"/>
  <c r="C36" i="7"/>
  <c r="D36" i="7"/>
  <c r="F36" i="7"/>
  <c r="G36" i="7"/>
  <c r="B36" i="7" s="1"/>
  <c r="C40" i="3" s="1"/>
  <c r="H36" i="7"/>
  <c r="I36" i="7"/>
  <c r="D40" i="3"/>
  <c r="D13" i="3"/>
  <c r="D14" i="3"/>
  <c r="E13" i="2"/>
  <c r="E17" i="2"/>
  <c r="E18" i="2"/>
  <c r="E19" i="2"/>
  <c r="A2" i="2"/>
  <c r="A2" i="3"/>
  <c r="A2" i="20" s="1"/>
  <c r="B38" i="20"/>
  <c r="B37" i="20"/>
  <c r="B36" i="20"/>
  <c r="G153" i="13"/>
  <c r="G153" i="16"/>
  <c r="H144" i="14"/>
  <c r="H144" i="17"/>
  <c r="G146" i="17"/>
  <c r="G147" i="17"/>
  <c r="E107" i="18"/>
  <c r="I25" i="13"/>
  <c r="I25" i="16" s="1"/>
  <c r="F25" i="13"/>
  <c r="F25" i="16" s="1"/>
  <c r="G25" i="13"/>
  <c r="G25" i="16" s="1"/>
  <c r="I31" i="13"/>
  <c r="I31" i="16" s="1"/>
  <c r="F31" i="13"/>
  <c r="F31" i="16" s="1"/>
  <c r="G31" i="13"/>
  <c r="G31" i="16" s="1"/>
  <c r="I29" i="13"/>
  <c r="I29" i="16" s="1"/>
  <c r="F29" i="13"/>
  <c r="F29" i="16" s="1"/>
  <c r="G29" i="13"/>
  <c r="G29" i="16" s="1"/>
  <c r="I27" i="13"/>
  <c r="I27" i="16" s="1"/>
  <c r="F27" i="13"/>
  <c r="F27" i="16" s="1"/>
  <c r="G27" i="13"/>
  <c r="G27" i="16" s="1"/>
  <c r="I24" i="13"/>
  <c r="I24" i="16" s="1"/>
  <c r="F24" i="13"/>
  <c r="F24" i="16" s="1"/>
  <c r="G24" i="13"/>
  <c r="G24" i="16" s="1"/>
  <c r="I22" i="13"/>
  <c r="I22" i="16" s="1"/>
  <c r="F22" i="13"/>
  <c r="F22" i="16" s="1"/>
  <c r="G22" i="13"/>
  <c r="G22" i="16" s="1"/>
  <c r="I20" i="13"/>
  <c r="I20" i="16" s="1"/>
  <c r="F20" i="13"/>
  <c r="F20" i="16" s="1"/>
  <c r="G20" i="13"/>
  <c r="G20" i="16" s="1"/>
  <c r="I19" i="13"/>
  <c r="I19" i="16" s="1"/>
  <c r="F19" i="13"/>
  <c r="F19" i="16" s="1"/>
  <c r="G19" i="13"/>
  <c r="G19" i="16" s="1"/>
  <c r="C14" i="15"/>
  <c r="F14" i="15" s="1"/>
  <c r="I14" i="15"/>
  <c r="M14" i="15" s="1"/>
  <c r="O14" i="15" s="1"/>
  <c r="P14" i="15" s="1"/>
  <c r="C15" i="15"/>
  <c r="F15" i="15" s="1"/>
  <c r="I15" i="15" s="1"/>
  <c r="M15" i="15" s="1"/>
  <c r="O15" i="15" s="1"/>
  <c r="P15" i="15" s="1"/>
  <c r="C24" i="15"/>
  <c r="F24" i="15" s="1"/>
  <c r="I24" i="15"/>
  <c r="M24" i="15" s="1"/>
  <c r="O24" i="15" s="1"/>
  <c r="P24" i="15" s="1"/>
  <c r="C25" i="15"/>
  <c r="F25" i="15" s="1"/>
  <c r="I25" i="15" s="1"/>
  <c r="M25" i="15" s="1"/>
  <c r="O25" i="15" s="1"/>
  <c r="P25" i="15" s="1"/>
  <c r="C26" i="15"/>
  <c r="F26" i="15" s="1"/>
  <c r="I26" i="15"/>
  <c r="M26" i="15" s="1"/>
  <c r="O26" i="15" s="1"/>
  <c r="P26" i="15" s="1"/>
  <c r="C27" i="15"/>
  <c r="F27" i="15" s="1"/>
  <c r="I27" i="15" s="1"/>
  <c r="M27" i="15" s="1"/>
  <c r="O27" i="15" s="1"/>
  <c r="P27" i="15" s="1"/>
  <c r="C28" i="15"/>
  <c r="F28" i="15" s="1"/>
  <c r="I28" i="15"/>
  <c r="M28" i="15" s="1"/>
  <c r="O28" i="15" s="1"/>
  <c r="P28" i="15" s="1"/>
  <c r="C29" i="15"/>
  <c r="F29" i="15" s="1"/>
  <c r="I29" i="15" s="1"/>
  <c r="M29" i="15" s="1"/>
  <c r="O29" i="15" s="1"/>
  <c r="P29" i="15" s="1"/>
  <c r="C30" i="15"/>
  <c r="F30" i="15" s="1"/>
  <c r="I30" i="15"/>
  <c r="M30" i="15" s="1"/>
  <c r="O30" i="15" s="1"/>
  <c r="P30" i="15" s="1"/>
  <c r="C31" i="15"/>
  <c r="F31" i="15" s="1"/>
  <c r="I31" i="15" s="1"/>
  <c r="M31" i="15" s="1"/>
  <c r="O31" i="15" s="1"/>
  <c r="P31" i="15" s="1"/>
  <c r="C33" i="15"/>
  <c r="F33" i="15" s="1"/>
  <c r="I33" i="15"/>
  <c r="M33" i="15" s="1"/>
  <c r="O33" i="15" s="1"/>
  <c r="P33" i="15" s="1"/>
  <c r="C34" i="15"/>
  <c r="F34" i="15" s="1"/>
  <c r="I34" i="15" s="1"/>
  <c r="M34" i="15" s="1"/>
  <c r="O34" i="15" s="1"/>
  <c r="P34" i="15" s="1"/>
  <c r="C35" i="15"/>
  <c r="F35" i="15" s="1"/>
  <c r="I35" i="15" s="1"/>
  <c r="M35" i="15" s="1"/>
  <c r="O35" i="15" s="1"/>
  <c r="P35" i="15" s="1"/>
  <c r="C36" i="15"/>
  <c r="F36" i="15" s="1"/>
  <c r="I36" i="15" s="1"/>
  <c r="M36" i="15" s="1"/>
  <c r="O36" i="15" s="1"/>
  <c r="P36" i="15" s="1"/>
  <c r="C37" i="15"/>
  <c r="F37" i="15" s="1"/>
  <c r="I37" i="15" s="1"/>
  <c r="M37" i="15" s="1"/>
  <c r="O37" i="15" s="1"/>
  <c r="P37" i="15" s="1"/>
  <c r="C38" i="15"/>
  <c r="F38" i="15" s="1"/>
  <c r="I38" i="15" s="1"/>
  <c r="M38" i="15" s="1"/>
  <c r="O38" i="15" s="1"/>
  <c r="P38" i="15" s="1"/>
  <c r="C40" i="15"/>
  <c r="F40" i="15" s="1"/>
  <c r="I40" i="15" s="1"/>
  <c r="M40" i="15" s="1"/>
  <c r="O40" i="15" s="1"/>
  <c r="P40" i="15" s="1"/>
  <c r="C41" i="15"/>
  <c r="F41" i="15" s="1"/>
  <c r="I41" i="15" s="1"/>
  <c r="M41" i="15" s="1"/>
  <c r="O41" i="15" s="1"/>
  <c r="P41" i="15" s="1"/>
  <c r="C42" i="15"/>
  <c r="F42" i="15" s="1"/>
  <c r="I42" i="15" s="1"/>
  <c r="M42" i="15" s="1"/>
  <c r="O42" i="15" s="1"/>
  <c r="P42" i="15" s="1"/>
  <c r="C43" i="15"/>
  <c r="F43" i="15" s="1"/>
  <c r="I43" i="15" s="1"/>
  <c r="M43" i="15" s="1"/>
  <c r="O43" i="15" s="1"/>
  <c r="P43" i="15" s="1"/>
  <c r="C44" i="15"/>
  <c r="F44" i="15" s="1"/>
  <c r="I44" i="15" s="1"/>
  <c r="M44" i="15" s="1"/>
  <c r="O44" i="15" s="1"/>
  <c r="P44" i="15" s="1"/>
  <c r="C45" i="15"/>
  <c r="F45" i="15" s="1"/>
  <c r="I45" i="15" s="1"/>
  <c r="M45" i="15" s="1"/>
  <c r="O45" i="15" s="1"/>
  <c r="P45" i="15" s="1"/>
  <c r="C51" i="15"/>
  <c r="F51" i="15" s="1"/>
  <c r="I51" i="15" s="1"/>
  <c r="M51" i="15" s="1"/>
  <c r="O51" i="15" s="1"/>
  <c r="P51" i="15" s="1"/>
  <c r="C52" i="15"/>
  <c r="F52" i="15" s="1"/>
  <c r="I52" i="15" s="1"/>
  <c r="M52" i="15" s="1"/>
  <c r="O52" i="15" s="1"/>
  <c r="P52" i="15" s="1"/>
  <c r="C53" i="15"/>
  <c r="F53" i="15" s="1"/>
  <c r="I53" i="15" s="1"/>
  <c r="M53" i="15" s="1"/>
  <c r="O53" i="15" s="1"/>
  <c r="P53" i="15" s="1"/>
  <c r="C54" i="15"/>
  <c r="F54" i="15" s="1"/>
  <c r="I54" i="15" s="1"/>
  <c r="M54" i="15" s="1"/>
  <c r="O54" i="15" s="1"/>
  <c r="P54" i="15" s="1"/>
  <c r="C55" i="15"/>
  <c r="F55" i="15" s="1"/>
  <c r="I55" i="15" s="1"/>
  <c r="M55" i="15" s="1"/>
  <c r="O55" i="15" s="1"/>
  <c r="P55" i="15" s="1"/>
  <c r="C56" i="15"/>
  <c r="F56" i="15" s="1"/>
  <c r="I56" i="15" s="1"/>
  <c r="M56" i="15" s="1"/>
  <c r="O56" i="15" s="1"/>
  <c r="P56" i="15" s="1"/>
  <c r="C57" i="15"/>
  <c r="F57" i="15" s="1"/>
  <c r="I57" i="15" s="1"/>
  <c r="M57" i="15" s="1"/>
  <c r="O57" i="15" s="1"/>
  <c r="P57" i="15" s="1"/>
  <c r="C59" i="15"/>
  <c r="F59" i="15" s="1"/>
  <c r="I59" i="15" s="1"/>
  <c r="M59" i="15" s="1"/>
  <c r="O59" i="15" s="1"/>
  <c r="P59" i="15" s="1"/>
  <c r="C60" i="15"/>
  <c r="F60" i="15" s="1"/>
  <c r="I60" i="15" s="1"/>
  <c r="M60" i="15" s="1"/>
  <c r="O60" i="15" s="1"/>
  <c r="P60" i="15" s="1"/>
  <c r="C61" i="15"/>
  <c r="F61" i="15" s="1"/>
  <c r="I61" i="15" s="1"/>
  <c r="M61" i="15" s="1"/>
  <c r="O61" i="15" s="1"/>
  <c r="P61" i="15" s="1"/>
  <c r="C62" i="15"/>
  <c r="F62" i="15" s="1"/>
  <c r="I62" i="15" s="1"/>
  <c r="M62" i="15" s="1"/>
  <c r="O62" i="15" s="1"/>
  <c r="P62" i="15" s="1"/>
  <c r="C63" i="15"/>
  <c r="F63" i="15" s="1"/>
  <c r="I63" i="15" s="1"/>
  <c r="M63" i="15" s="1"/>
  <c r="O63" i="15" s="1"/>
  <c r="P63" i="15" s="1"/>
  <c r="C64" i="15"/>
  <c r="F64" i="15" s="1"/>
  <c r="I64" i="15" s="1"/>
  <c r="M64" i="15" s="1"/>
  <c r="O64" i="15" s="1"/>
  <c r="P64" i="15" s="1"/>
  <c r="C66" i="15"/>
  <c r="F66" i="15" s="1"/>
  <c r="I66" i="15" s="1"/>
  <c r="M66" i="15" s="1"/>
  <c r="O66" i="15" s="1"/>
  <c r="P66" i="15" s="1"/>
  <c r="C72" i="15"/>
  <c r="F72" i="15" s="1"/>
  <c r="I72" i="15" s="1"/>
  <c r="M72" i="15" s="1"/>
  <c r="O72" i="15" s="1"/>
  <c r="P72" i="15" s="1"/>
  <c r="C73" i="15"/>
  <c r="F73" i="15" s="1"/>
  <c r="I73" i="15" s="1"/>
  <c r="M73" i="15" s="1"/>
  <c r="O73" i="15" s="1"/>
  <c r="P73" i="15" s="1"/>
  <c r="C74" i="15"/>
  <c r="F74" i="15" s="1"/>
  <c r="I74" i="15" s="1"/>
  <c r="M74" i="15" s="1"/>
  <c r="O74" i="15" s="1"/>
  <c r="P74" i="15" s="1"/>
  <c r="C75" i="15"/>
  <c r="F75" i="15" s="1"/>
  <c r="I75" i="15" s="1"/>
  <c r="M75" i="15" s="1"/>
  <c r="O75" i="15" s="1"/>
  <c r="P75" i="15" s="1"/>
  <c r="C76" i="15"/>
  <c r="F76" i="15" s="1"/>
  <c r="I76" i="15" s="1"/>
  <c r="M76" i="15" s="1"/>
  <c r="O76" i="15" s="1"/>
  <c r="P76" i="15" s="1"/>
  <c r="C78" i="15"/>
  <c r="F78" i="15" s="1"/>
  <c r="I78" i="15" s="1"/>
  <c r="M78" i="15" s="1"/>
  <c r="O78" i="15" s="1"/>
  <c r="P78" i="15" s="1"/>
  <c r="C80" i="15"/>
  <c r="F80" i="15" s="1"/>
  <c r="I80" i="15" s="1"/>
  <c r="M80" i="15" s="1"/>
  <c r="O80" i="15" s="1"/>
  <c r="P80" i="15" s="1"/>
  <c r="C81" i="15"/>
  <c r="F81" i="15" s="1"/>
  <c r="I81" i="15" s="1"/>
  <c r="M81" i="15" s="1"/>
  <c r="O81" i="15" s="1"/>
  <c r="P81" i="15" s="1"/>
  <c r="C82" i="15"/>
  <c r="F82" i="15" s="1"/>
  <c r="I82" i="15" s="1"/>
  <c r="M82" i="15" s="1"/>
  <c r="O82" i="15" s="1"/>
  <c r="P82" i="15" s="1"/>
  <c r="C83" i="15"/>
  <c r="F83" i="15" s="1"/>
  <c r="I83" i="15" s="1"/>
  <c r="M83" i="15" s="1"/>
  <c r="O83" i="15" s="1"/>
  <c r="P83" i="15" s="1"/>
  <c r="C84" i="15"/>
  <c r="F84" i="15" s="1"/>
  <c r="I84" i="15" s="1"/>
  <c r="M84" i="15" s="1"/>
  <c r="O84" i="15" s="1"/>
  <c r="P84" i="15" s="1"/>
  <c r="F79" i="15"/>
  <c r="I79" i="15" s="1"/>
  <c r="M79" i="15" s="1"/>
  <c r="O79" i="15" s="1"/>
  <c r="P79" i="15" s="1"/>
  <c r="C90" i="15"/>
  <c r="F90" i="15"/>
  <c r="I90" i="15" s="1"/>
  <c r="M90" i="15" s="1"/>
  <c r="O90" i="15" s="1"/>
  <c r="P90" i="15" s="1"/>
  <c r="C91" i="15"/>
  <c r="F91" i="15"/>
  <c r="I91" i="15" s="1"/>
  <c r="M91" i="15" s="1"/>
  <c r="O91" i="15" s="1"/>
  <c r="P91" i="15" s="1"/>
  <c r="C92" i="15"/>
  <c r="F92" i="15"/>
  <c r="I92" i="15" s="1"/>
  <c r="M92" i="15"/>
  <c r="O92" i="15" s="1"/>
  <c r="P92" i="15" s="1"/>
  <c r="C94" i="15"/>
  <c r="F94" i="15"/>
  <c r="I94" i="15" s="1"/>
  <c r="M94" i="15"/>
  <c r="O94" i="15" s="1"/>
  <c r="P94" i="15" s="1"/>
  <c r="C96" i="15"/>
  <c r="F96" i="15"/>
  <c r="I96" i="15" s="1"/>
  <c r="M96" i="15"/>
  <c r="O96" i="15" s="1"/>
  <c r="P96" i="15" s="1"/>
  <c r="C53" i="1"/>
  <c r="D30" i="3"/>
  <c r="C102" i="15"/>
  <c r="F102" i="15"/>
  <c r="I102" i="15" s="1"/>
  <c r="M102" i="15"/>
  <c r="O102" i="15" s="1"/>
  <c r="P102" i="15" s="1"/>
  <c r="C54" i="1"/>
  <c r="D31" i="3"/>
  <c r="C104" i="15"/>
  <c r="F104" i="15"/>
  <c r="I104" i="15" s="1"/>
  <c r="M104" i="15"/>
  <c r="O104" i="15" s="1"/>
  <c r="P104" i="15" s="1"/>
  <c r="C105" i="15"/>
  <c r="F105" i="15"/>
  <c r="I105" i="15" s="1"/>
  <c r="M105" i="15"/>
  <c r="O105" i="15" s="1"/>
  <c r="P105" i="15" s="1"/>
  <c r="C106" i="15"/>
  <c r="F106" i="15"/>
  <c r="I106" i="15" s="1"/>
  <c r="M106" i="15"/>
  <c r="O106" i="15" s="1"/>
  <c r="P106" i="15" s="1"/>
  <c r="C109" i="15"/>
  <c r="F109" i="15"/>
  <c r="I109" i="15" s="1"/>
  <c r="M109" i="15"/>
  <c r="O109" i="15" s="1"/>
  <c r="P109" i="15" s="1"/>
  <c r="C110" i="15"/>
  <c r="F110" i="15"/>
  <c r="I110" i="15" s="1"/>
  <c r="M110" i="15"/>
  <c r="O110" i="15" s="1"/>
  <c r="P110" i="15" s="1"/>
  <c r="C111" i="15"/>
  <c r="F111" i="15"/>
  <c r="I111" i="15" s="1"/>
  <c r="M111" i="15"/>
  <c r="O111" i="15" s="1"/>
  <c r="P111" i="15" s="1"/>
  <c r="C112" i="15"/>
  <c r="F112" i="15"/>
  <c r="I112" i="15" s="1"/>
  <c r="M112" i="15" s="1"/>
  <c r="O112" i="15" s="1"/>
  <c r="P112" i="15" s="1"/>
  <c r="C114" i="15"/>
  <c r="F114" i="15"/>
  <c r="I114" i="15" s="1"/>
  <c r="M114" i="15" s="1"/>
  <c r="O114" i="15" s="1"/>
  <c r="P114" i="15" s="1"/>
  <c r="C115" i="15"/>
  <c r="F115" i="15"/>
  <c r="I115" i="15" s="1"/>
  <c r="M115" i="15" s="1"/>
  <c r="O115" i="15" s="1"/>
  <c r="P115" i="15" s="1"/>
  <c r="C116" i="15"/>
  <c r="F116" i="15"/>
  <c r="I116" i="15" s="1"/>
  <c r="M116" i="15" s="1"/>
  <c r="O116" i="15" s="1"/>
  <c r="P116" i="15" s="1"/>
  <c r="C117" i="15"/>
  <c r="F117" i="15"/>
  <c r="I117" i="15" s="1"/>
  <c r="M117" i="15" s="1"/>
  <c r="O117" i="15" s="1"/>
  <c r="P117" i="15" s="1"/>
  <c r="C118" i="15"/>
  <c r="F118" i="15"/>
  <c r="I118" i="15" s="1"/>
  <c r="M118" i="15" s="1"/>
  <c r="O118" i="15" s="1"/>
  <c r="P118" i="15" s="1"/>
  <c r="C119" i="15"/>
  <c r="F119" i="15"/>
  <c r="I119" i="15" s="1"/>
  <c r="M119" i="15" s="1"/>
  <c r="O119" i="15" s="1"/>
  <c r="P119" i="15" s="1"/>
  <c r="F107" i="15"/>
  <c r="I107" i="15"/>
  <c r="M107" i="15" s="1"/>
  <c r="O107" i="15" s="1"/>
  <c r="P107" i="15" s="1"/>
  <c r="C125" i="15"/>
  <c r="F125" i="15" s="1"/>
  <c r="I125" i="15" s="1"/>
  <c r="M125" i="15" s="1"/>
  <c r="O125" i="15" s="1"/>
  <c r="P125" i="15" s="1"/>
  <c r="C126" i="15"/>
  <c r="F126" i="15" s="1"/>
  <c r="I126" i="15" s="1"/>
  <c r="M126" i="15" s="1"/>
  <c r="O126" i="15" s="1"/>
  <c r="P126" i="15" s="1"/>
  <c r="C127" i="15"/>
  <c r="F127" i="15" s="1"/>
  <c r="I127" i="15" s="1"/>
  <c r="M127" i="15" s="1"/>
  <c r="O127" i="15" s="1"/>
  <c r="P127" i="15" s="1"/>
  <c r="C129" i="15"/>
  <c r="F129" i="15" s="1"/>
  <c r="I129" i="15" s="1"/>
  <c r="M129" i="15" s="1"/>
  <c r="O129" i="15" s="1"/>
  <c r="P129" i="15" s="1"/>
  <c r="C131" i="15"/>
  <c r="F131" i="15" s="1"/>
  <c r="I131" i="15" s="1"/>
  <c r="M131" i="15" s="1"/>
  <c r="O131" i="15" s="1"/>
  <c r="P131" i="15" s="1"/>
  <c r="C132" i="15"/>
  <c r="F132" i="15" s="1"/>
  <c r="I132" i="15" s="1"/>
  <c r="M132" i="15" s="1"/>
  <c r="O132" i="15" s="1"/>
  <c r="P132" i="15" s="1"/>
  <c r="C133" i="15"/>
  <c r="F133" i="15" s="1"/>
  <c r="I133" i="15" s="1"/>
  <c r="M133" i="15" s="1"/>
  <c r="O133" i="15" s="1"/>
  <c r="P133" i="15" s="1"/>
  <c r="C134" i="15"/>
  <c r="F134" i="15" s="1"/>
  <c r="I134" i="15" s="1"/>
  <c r="M134" i="15" s="1"/>
  <c r="O134" i="15" s="1"/>
  <c r="P134" i="15" s="1"/>
  <c r="C135" i="15"/>
  <c r="F135" i="15" s="1"/>
  <c r="I135" i="15" s="1"/>
  <c r="M135" i="15" s="1"/>
  <c r="O135" i="15" s="1"/>
  <c r="P135" i="15" s="1"/>
  <c r="D61" i="20"/>
  <c r="E27" i="19" s="1"/>
  <c r="B64" i="20"/>
  <c r="C64" i="20"/>
  <c r="D64" i="20"/>
  <c r="D62" i="20"/>
  <c r="D66" i="20"/>
  <c r="E41" i="19" s="1"/>
  <c r="C24" i="20"/>
  <c r="B24" i="20"/>
  <c r="D24" i="20"/>
  <c r="C11" i="1"/>
  <c r="C21" i="1"/>
  <c r="C73" i="1" s="1"/>
  <c r="C34" i="1"/>
  <c r="C41" i="1"/>
  <c r="C49" i="1"/>
  <c r="C58" i="1"/>
  <c r="C63" i="1"/>
  <c r="C71" i="1"/>
  <c r="K14" i="17"/>
  <c r="K15" i="17"/>
  <c r="K21" i="17"/>
  <c r="K22" i="17"/>
  <c r="K23" i="17"/>
  <c r="K24" i="17"/>
  <c r="K25" i="17"/>
  <c r="K26" i="17"/>
  <c r="K27" i="17"/>
  <c r="K28" i="17"/>
  <c r="K46" i="17"/>
  <c r="K47" i="17"/>
  <c r="K48" i="17"/>
  <c r="K49" i="17"/>
  <c r="K50" i="17"/>
  <c r="K51" i="17"/>
  <c r="K52" i="17"/>
  <c r="K87" i="17"/>
  <c r="K88" i="17"/>
  <c r="K89" i="17"/>
  <c r="K97" i="17"/>
  <c r="K98" i="17"/>
  <c r="K99" i="17"/>
  <c r="K100" i="17"/>
  <c r="K101" i="17"/>
  <c r="K120" i="17"/>
  <c r="K121" i="17"/>
  <c r="K122" i="17"/>
  <c r="K103" i="17"/>
  <c r="K17" i="17"/>
  <c r="P17" i="17"/>
  <c r="K30" i="17"/>
  <c r="P30" i="17"/>
  <c r="K31" i="17"/>
  <c r="P31" i="17"/>
  <c r="K32" i="17"/>
  <c r="P32" i="17"/>
  <c r="K33" i="17"/>
  <c r="P33" i="17"/>
  <c r="K34" i="17"/>
  <c r="P34" i="17"/>
  <c r="K35" i="17"/>
  <c r="P35" i="17"/>
  <c r="K37" i="17"/>
  <c r="P37" i="17"/>
  <c r="K38" i="17"/>
  <c r="P38" i="17"/>
  <c r="K39" i="17"/>
  <c r="P39" i="17"/>
  <c r="K40" i="17"/>
  <c r="P40" i="17"/>
  <c r="K41" i="17"/>
  <c r="P41" i="17"/>
  <c r="K42" i="17"/>
  <c r="P42" i="17"/>
  <c r="K55" i="17"/>
  <c r="P55" i="17"/>
  <c r="K56" i="17"/>
  <c r="P56" i="17"/>
  <c r="K57" i="17"/>
  <c r="P57" i="17"/>
  <c r="K58" i="17"/>
  <c r="P58" i="17"/>
  <c r="K59" i="17"/>
  <c r="P59" i="17"/>
  <c r="K60" i="17"/>
  <c r="P60" i="17"/>
  <c r="K62" i="17"/>
  <c r="P62" i="17"/>
  <c r="K68" i="17"/>
  <c r="P68" i="17"/>
  <c r="K69" i="17"/>
  <c r="P69" i="17"/>
  <c r="K70" i="17"/>
  <c r="P70" i="17"/>
  <c r="K71" i="17"/>
  <c r="P71" i="17"/>
  <c r="K72" i="17"/>
  <c r="P72" i="17"/>
  <c r="K77" i="17"/>
  <c r="P77" i="17"/>
  <c r="K78" i="17"/>
  <c r="P78" i="17"/>
  <c r="K79" i="17"/>
  <c r="P79" i="17"/>
  <c r="K80" i="17"/>
  <c r="P80" i="17"/>
  <c r="K81" i="17"/>
  <c r="P81" i="17"/>
  <c r="K82" i="17"/>
  <c r="P82" i="17"/>
  <c r="K83" i="17"/>
  <c r="P83" i="17"/>
  <c r="K91" i="17"/>
  <c r="P91" i="17"/>
  <c r="K93" i="17"/>
  <c r="P93" i="17"/>
  <c r="K105" i="17"/>
  <c r="P105" i="17"/>
  <c r="K106" i="17"/>
  <c r="P106" i="17"/>
  <c r="K107" i="17"/>
  <c r="P107" i="17"/>
  <c r="K108" i="17"/>
  <c r="P108" i="17"/>
  <c r="K110" i="17"/>
  <c r="P110" i="17"/>
  <c r="K111" i="17"/>
  <c r="P111" i="17"/>
  <c r="K112" i="17"/>
  <c r="P112" i="17"/>
  <c r="K113" i="17"/>
  <c r="P113" i="17"/>
  <c r="K114" i="17"/>
  <c r="P114" i="17"/>
  <c r="K115" i="17"/>
  <c r="P115" i="17"/>
  <c r="K124" i="17"/>
  <c r="P124" i="17"/>
  <c r="K126" i="17"/>
  <c r="P126" i="17"/>
  <c r="K127" i="17"/>
  <c r="P127" i="17"/>
  <c r="K128" i="17"/>
  <c r="P128" i="17"/>
  <c r="K129" i="17"/>
  <c r="P129" i="17"/>
  <c r="K130" i="17"/>
  <c r="P130" i="17"/>
  <c r="E103" i="17"/>
  <c r="O103" i="17"/>
  <c r="D21" i="1"/>
  <c r="D34" i="1"/>
  <c r="D58" i="1"/>
  <c r="D11" i="1"/>
  <c r="D63" i="1"/>
  <c r="O17" i="17"/>
  <c r="O37" i="17"/>
  <c r="O38" i="17"/>
  <c r="O39" i="17"/>
  <c r="O40" i="17"/>
  <c r="O41" i="17"/>
  <c r="O42" i="17"/>
  <c r="O62" i="17"/>
  <c r="O68" i="17"/>
  <c r="O69" i="17"/>
  <c r="O70" i="17"/>
  <c r="O71" i="17"/>
  <c r="O72" i="17"/>
  <c r="O77" i="17"/>
  <c r="O78" i="17"/>
  <c r="O79" i="17"/>
  <c r="O80" i="17"/>
  <c r="O81" i="17"/>
  <c r="O82" i="17"/>
  <c r="O83" i="17"/>
  <c r="O93" i="17"/>
  <c r="O110" i="17"/>
  <c r="O111" i="17"/>
  <c r="O112" i="17"/>
  <c r="O113" i="17"/>
  <c r="O114" i="17"/>
  <c r="O115" i="17"/>
  <c r="O126" i="17"/>
  <c r="O127" i="17"/>
  <c r="O128" i="17"/>
  <c r="O129" i="17"/>
  <c r="O130" i="17"/>
  <c r="H153" i="17"/>
  <c r="G155" i="17"/>
  <c r="G156" i="17"/>
  <c r="C24" i="18"/>
  <c r="F24" i="18"/>
  <c r="I24" i="18" s="1"/>
  <c r="C25" i="18"/>
  <c r="F25" i="18" s="1"/>
  <c r="I25" i="18" s="1"/>
  <c r="C26" i="18"/>
  <c r="F26" i="18"/>
  <c r="I26" i="18" s="1"/>
  <c r="C27" i="18"/>
  <c r="F27" i="18" s="1"/>
  <c r="I27" i="18" s="1"/>
  <c r="C28" i="18"/>
  <c r="F28" i="18"/>
  <c r="I28" i="18" s="1"/>
  <c r="C29" i="18"/>
  <c r="F29" i="18" s="1"/>
  <c r="I29" i="18" s="1"/>
  <c r="C30" i="18"/>
  <c r="F30" i="18"/>
  <c r="I30" i="18" s="1"/>
  <c r="C31" i="18"/>
  <c r="F31" i="18" s="1"/>
  <c r="I31" i="18" s="1"/>
  <c r="C33" i="18"/>
  <c r="F33" i="18"/>
  <c r="I33" i="18" s="1"/>
  <c r="J33" i="18" s="1"/>
  <c r="C34" i="18"/>
  <c r="F34" i="18"/>
  <c r="I34" i="18" s="1"/>
  <c r="J34" i="18" s="1"/>
  <c r="C35" i="18"/>
  <c r="F35" i="18"/>
  <c r="I35" i="18" s="1"/>
  <c r="J35" i="18" s="1"/>
  <c r="C36" i="18"/>
  <c r="F36" i="18"/>
  <c r="I36" i="18" s="1"/>
  <c r="J36" i="18" s="1"/>
  <c r="C37" i="18"/>
  <c r="F37" i="18"/>
  <c r="I37" i="18" s="1"/>
  <c r="J37" i="18" s="1"/>
  <c r="C38" i="18"/>
  <c r="F38" i="18"/>
  <c r="I38" i="18" s="1"/>
  <c r="J38" i="18" s="1"/>
  <c r="C40" i="18"/>
  <c r="F40" i="18"/>
  <c r="I40" i="18" s="1"/>
  <c r="J40" i="18" s="1"/>
  <c r="C41" i="18"/>
  <c r="F41" i="18"/>
  <c r="C42" i="18"/>
  <c r="F42" i="18"/>
  <c r="I42" i="18" s="1"/>
  <c r="J42" i="18" s="1"/>
  <c r="C43" i="18"/>
  <c r="F43" i="18"/>
  <c r="C44" i="18"/>
  <c r="F44" i="18"/>
  <c r="I44" i="18" s="1"/>
  <c r="J44" i="18" s="1"/>
  <c r="C45" i="18"/>
  <c r="F45" i="18"/>
  <c r="F107" i="18"/>
  <c r="I107" i="18"/>
  <c r="C102" i="18"/>
  <c r="F102" i="18"/>
  <c r="I102" i="18" s="1"/>
  <c r="I87" i="13"/>
  <c r="I87" i="16" s="1"/>
  <c r="H87" i="16" s="1"/>
  <c r="H102" i="18" s="1"/>
  <c r="J102" i="18" s="1"/>
  <c r="F87" i="13"/>
  <c r="F87" i="16"/>
  <c r="G87" i="13"/>
  <c r="G87" i="16"/>
  <c r="C103" i="18"/>
  <c r="F103" i="18"/>
  <c r="I103" i="18" s="1"/>
  <c r="I89" i="13"/>
  <c r="I89" i="16" s="1"/>
  <c r="H89" i="16" s="1"/>
  <c r="H103" i="18" s="1"/>
  <c r="F89" i="13"/>
  <c r="F89" i="16"/>
  <c r="G89" i="13"/>
  <c r="G89" i="16"/>
  <c r="C104" i="18"/>
  <c r="F104" i="18"/>
  <c r="I104" i="18" s="1"/>
  <c r="I91" i="13"/>
  <c r="I91" i="16" s="1"/>
  <c r="H91" i="16" s="1"/>
  <c r="H104" i="18" s="1"/>
  <c r="J104" i="18" s="1"/>
  <c r="F91" i="13"/>
  <c r="F91" i="16"/>
  <c r="G91" i="13"/>
  <c r="G91" i="16"/>
  <c r="C105" i="18"/>
  <c r="F105" i="18"/>
  <c r="I105" i="18" s="1"/>
  <c r="I93" i="13"/>
  <c r="I93" i="16" s="1"/>
  <c r="H93" i="16" s="1"/>
  <c r="H105" i="18" s="1"/>
  <c r="F93" i="13"/>
  <c r="F93" i="16"/>
  <c r="G93" i="13"/>
  <c r="G93" i="16"/>
  <c r="C106" i="18"/>
  <c r="F106" i="18"/>
  <c r="I106" i="18" s="1"/>
  <c r="I95" i="13"/>
  <c r="I95" i="16" s="1"/>
  <c r="H95" i="16" s="1"/>
  <c r="H106" i="18" s="1"/>
  <c r="J106" i="18" s="1"/>
  <c r="F95" i="13"/>
  <c r="F95" i="16"/>
  <c r="G95" i="13"/>
  <c r="G95" i="16"/>
  <c r="C109" i="18"/>
  <c r="F109" i="18"/>
  <c r="I109" i="18" s="1"/>
  <c r="I88" i="13"/>
  <c r="I88" i="16" s="1"/>
  <c r="H88" i="16" s="1"/>
  <c r="H109" i="18" s="1"/>
  <c r="F88" i="13"/>
  <c r="F88" i="16"/>
  <c r="G88" i="13"/>
  <c r="G88" i="16"/>
  <c r="C110" i="18"/>
  <c r="F110" i="18"/>
  <c r="I110" i="18" s="1"/>
  <c r="I90" i="13"/>
  <c r="I90" i="16" s="1"/>
  <c r="H90" i="16" s="1"/>
  <c r="H110" i="18" s="1"/>
  <c r="J110" i="18" s="1"/>
  <c r="F90" i="13"/>
  <c r="F90" i="16"/>
  <c r="G90" i="13"/>
  <c r="G90" i="16"/>
  <c r="C111" i="18"/>
  <c r="F111" i="18"/>
  <c r="I111" i="18" s="1"/>
  <c r="I92" i="13"/>
  <c r="I92" i="16" s="1"/>
  <c r="H92" i="16" s="1"/>
  <c r="H111" i="18" s="1"/>
  <c r="F92" i="13"/>
  <c r="F92" i="16"/>
  <c r="G92" i="13"/>
  <c r="G92" i="16"/>
  <c r="C112" i="18"/>
  <c r="F112" i="18"/>
  <c r="I112" i="18" s="1"/>
  <c r="I94" i="13"/>
  <c r="I94" i="16" s="1"/>
  <c r="H94" i="16" s="1"/>
  <c r="H112" i="18" s="1"/>
  <c r="J112" i="18" s="1"/>
  <c r="F94" i="13"/>
  <c r="F94" i="16"/>
  <c r="G94" i="13"/>
  <c r="G94" i="16"/>
  <c r="C114" i="18"/>
  <c r="F114" i="18"/>
  <c r="I114" i="18" s="1"/>
  <c r="H157" i="13"/>
  <c r="H155" i="16" s="1"/>
  <c r="H114" i="18" s="1"/>
  <c r="C115" i="18"/>
  <c r="F115" i="18" s="1"/>
  <c r="I115" i="18" s="1"/>
  <c r="H158" i="13"/>
  <c r="H156" i="16"/>
  <c r="H115" i="18" s="1"/>
  <c r="J115" i="18" s="1"/>
  <c r="C116" i="18"/>
  <c r="F116" i="18"/>
  <c r="I116" i="18" s="1"/>
  <c r="H159" i="13"/>
  <c r="H157" i="16" s="1"/>
  <c r="H116" i="18" s="1"/>
  <c r="C117" i="18"/>
  <c r="F117" i="18" s="1"/>
  <c r="I117" i="18" s="1"/>
  <c r="H160" i="13"/>
  <c r="H158" i="16"/>
  <c r="H117" i="18" s="1"/>
  <c r="J117" i="18" s="1"/>
  <c r="C118" i="18"/>
  <c r="F118" i="18"/>
  <c r="I118" i="18" s="1"/>
  <c r="H159" i="16"/>
  <c r="H118" i="18" s="1"/>
  <c r="C119" i="18"/>
  <c r="F119" i="18"/>
  <c r="I119" i="18" s="1"/>
  <c r="H160" i="16"/>
  <c r="H119" i="18" s="1"/>
  <c r="J119" i="18" s="1"/>
  <c r="C14" i="18"/>
  <c r="F14" i="18"/>
  <c r="I14" i="18" s="1"/>
  <c r="I14" i="13"/>
  <c r="I14" i="16" s="1"/>
  <c r="C15" i="18"/>
  <c r="F15" i="18" s="1"/>
  <c r="I15" i="18" s="1"/>
  <c r="I15" i="13"/>
  <c r="I15" i="16"/>
  <c r="C17" i="18"/>
  <c r="F17" i="18"/>
  <c r="I17" i="18" s="1"/>
  <c r="G119" i="13"/>
  <c r="G119" i="16" s="1"/>
  <c r="E17" i="18" s="1"/>
  <c r="C51" i="18"/>
  <c r="F51" i="18"/>
  <c r="I51" i="18" s="1"/>
  <c r="I38" i="13"/>
  <c r="I38" i="16" s="1"/>
  <c r="H38" i="16" s="1"/>
  <c r="H51" i="18" s="1"/>
  <c r="J51" i="18" s="1"/>
  <c r="F38" i="13"/>
  <c r="F38" i="16" s="1"/>
  <c r="G38" i="13"/>
  <c r="G38" i="16"/>
  <c r="C52" i="18"/>
  <c r="F52" i="18"/>
  <c r="I52" i="18" s="1"/>
  <c r="I40" i="13"/>
  <c r="I40" i="16" s="1"/>
  <c r="H40" i="16" s="1"/>
  <c r="H52" i="18" s="1"/>
  <c r="J52" i="18" s="1"/>
  <c r="F40" i="13"/>
  <c r="F40" i="16" s="1"/>
  <c r="G40" i="13"/>
  <c r="G40" i="16"/>
  <c r="C53" i="18"/>
  <c r="F53" i="18"/>
  <c r="I53" i="18" s="1"/>
  <c r="I46" i="13"/>
  <c r="I46" i="16" s="1"/>
  <c r="F46" i="13"/>
  <c r="F46" i="16" s="1"/>
  <c r="G46" i="13"/>
  <c r="G46" i="16" s="1"/>
  <c r="C54" i="18"/>
  <c r="F54" i="18"/>
  <c r="I54" i="18" s="1"/>
  <c r="I47" i="13"/>
  <c r="I47" i="16" s="1"/>
  <c r="F47" i="13"/>
  <c r="F47" i="16" s="1"/>
  <c r="G47" i="13"/>
  <c r="G47" i="16" s="1"/>
  <c r="E54" i="18" s="1"/>
  <c r="C55" i="18"/>
  <c r="F55" i="18"/>
  <c r="I55" i="18" s="1"/>
  <c r="I49" i="13"/>
  <c r="I49" i="16" s="1"/>
  <c r="F49" i="13"/>
  <c r="F49" i="16" s="1"/>
  <c r="G49" i="13"/>
  <c r="G49" i="16" s="1"/>
  <c r="E55" i="18" s="1"/>
  <c r="C56" i="18"/>
  <c r="F56" i="18"/>
  <c r="I56" i="18" s="1"/>
  <c r="I44" i="13"/>
  <c r="I44" i="16" s="1"/>
  <c r="F44" i="13"/>
  <c r="F44" i="16" s="1"/>
  <c r="G44" i="13"/>
  <c r="G44" i="16" s="1"/>
  <c r="E56" i="18" s="1"/>
  <c r="C57" i="18"/>
  <c r="F57" i="18"/>
  <c r="I57" i="18" s="1"/>
  <c r="I42" i="13"/>
  <c r="I42" i="16" s="1"/>
  <c r="F42" i="13"/>
  <c r="F42" i="16" s="1"/>
  <c r="G42" i="13"/>
  <c r="G42" i="16" s="1"/>
  <c r="C59" i="18"/>
  <c r="F59" i="18" s="1"/>
  <c r="I59" i="18" s="1"/>
  <c r="I48" i="13"/>
  <c r="I48" i="16"/>
  <c r="F48" i="13"/>
  <c r="F48" i="16"/>
  <c r="G48" i="13"/>
  <c r="G48" i="16"/>
  <c r="E59" i="18" s="1"/>
  <c r="C60" i="18"/>
  <c r="F60" i="18" s="1"/>
  <c r="I60" i="18" s="1"/>
  <c r="I50" i="13"/>
  <c r="I50" i="16"/>
  <c r="F50" i="13"/>
  <c r="F50" i="16"/>
  <c r="G50" i="13"/>
  <c r="G50" i="16"/>
  <c r="E60" i="18" s="1"/>
  <c r="C61" i="18"/>
  <c r="F61" i="18" s="1"/>
  <c r="I61" i="18"/>
  <c r="I45" i="13"/>
  <c r="I45" i="16"/>
  <c r="F45" i="13"/>
  <c r="F45" i="16"/>
  <c r="G45" i="13"/>
  <c r="G45" i="16"/>
  <c r="E61" i="18" s="1"/>
  <c r="C62" i="18"/>
  <c r="F62" i="18" s="1"/>
  <c r="I62" i="18"/>
  <c r="I43" i="13"/>
  <c r="I43" i="16"/>
  <c r="F43" i="13"/>
  <c r="F43" i="16"/>
  <c r="G43" i="13"/>
  <c r="G43" i="16"/>
  <c r="E62" i="18" s="1"/>
  <c r="C63" i="18"/>
  <c r="F63" i="18" s="1"/>
  <c r="I63" i="18"/>
  <c r="I39" i="13"/>
  <c r="I39" i="16"/>
  <c r="F39" i="13"/>
  <c r="F39" i="16"/>
  <c r="G39" i="13"/>
  <c r="G39" i="16"/>
  <c r="E63" i="18" s="1"/>
  <c r="C64" i="18"/>
  <c r="F64" i="18" s="1"/>
  <c r="I64" i="18"/>
  <c r="I41" i="13"/>
  <c r="I41" i="16"/>
  <c r="F41" i="13"/>
  <c r="F41" i="16"/>
  <c r="G41" i="13"/>
  <c r="G41" i="16"/>
  <c r="E64" i="18" s="1"/>
  <c r="C66" i="18"/>
  <c r="F66" i="18" s="1"/>
  <c r="I66" i="18"/>
  <c r="H134" i="13"/>
  <c r="H134" i="16"/>
  <c r="H66" i="18" s="1"/>
  <c r="J66" i="18" s="1"/>
  <c r="C72" i="18"/>
  <c r="F72" i="18"/>
  <c r="I72" i="18" s="1"/>
  <c r="J72" i="18"/>
  <c r="C73" i="18"/>
  <c r="F73" i="18"/>
  <c r="I73" i="18" s="1"/>
  <c r="J73" i="18" s="1"/>
  <c r="C74" i="18"/>
  <c r="F74" i="18"/>
  <c r="I74" i="18" s="1"/>
  <c r="J74" i="18"/>
  <c r="C75" i="18"/>
  <c r="F75" i="18"/>
  <c r="I75" i="18" s="1"/>
  <c r="J75" i="18" s="1"/>
  <c r="C76" i="18"/>
  <c r="F76" i="18"/>
  <c r="I76" i="18" s="1"/>
  <c r="J76" i="18"/>
  <c r="C78" i="18"/>
  <c r="F78" i="18"/>
  <c r="I78" i="18" s="1"/>
  <c r="J78" i="18" s="1"/>
  <c r="C80" i="18"/>
  <c r="F80" i="18"/>
  <c r="I80" i="18" s="1"/>
  <c r="J80" i="18"/>
  <c r="C81" i="18"/>
  <c r="F81" i="18"/>
  <c r="I81" i="18" s="1"/>
  <c r="J81" i="18" s="1"/>
  <c r="C82" i="18"/>
  <c r="F82" i="18"/>
  <c r="I82" i="18" s="1"/>
  <c r="J82" i="18" s="1"/>
  <c r="C83" i="18"/>
  <c r="F83" i="18"/>
  <c r="I83" i="18" s="1"/>
  <c r="J83" i="18" s="1"/>
  <c r="C84" i="18"/>
  <c r="F84" i="18"/>
  <c r="I84" i="18" s="1"/>
  <c r="J84" i="18" s="1"/>
  <c r="F79" i="18"/>
  <c r="I79" i="18"/>
  <c r="J79" i="18" s="1"/>
  <c r="C90" i="18"/>
  <c r="F90" i="18" s="1"/>
  <c r="I78" i="13"/>
  <c r="I78" i="16"/>
  <c r="F78" i="13"/>
  <c r="F78" i="16"/>
  <c r="G78" i="13"/>
  <c r="G78" i="16"/>
  <c r="C91" i="18"/>
  <c r="F91" i="18"/>
  <c r="I91" i="18" s="1"/>
  <c r="I79" i="13"/>
  <c r="I79" i="16" s="1"/>
  <c r="F79" i="13"/>
  <c r="F79" i="16" s="1"/>
  <c r="B91" i="18" s="1"/>
  <c r="D91" i="18" s="1"/>
  <c r="G79" i="13"/>
  <c r="G79" i="16" s="1"/>
  <c r="E91" i="18" s="1"/>
  <c r="G91" i="18" s="1"/>
  <c r="C92" i="18"/>
  <c r="F92" i="18" s="1"/>
  <c r="I80" i="13"/>
  <c r="I80" i="16"/>
  <c r="F80" i="13"/>
  <c r="F80" i="16"/>
  <c r="G80" i="13"/>
  <c r="G80" i="16"/>
  <c r="C94" i="18"/>
  <c r="F94" i="18"/>
  <c r="I94" i="18" s="1"/>
  <c r="I81" i="13"/>
  <c r="I81" i="16" s="1"/>
  <c r="F81" i="13"/>
  <c r="F81" i="16" s="1"/>
  <c r="B94" i="18" s="1"/>
  <c r="D94" i="18" s="1"/>
  <c r="G81" i="13"/>
  <c r="G81" i="16" s="1"/>
  <c r="E94" i="18" s="1"/>
  <c r="G94" i="18" s="1"/>
  <c r="C96" i="18"/>
  <c r="F96" i="18" s="1"/>
  <c r="I96" i="18" s="1"/>
  <c r="H147" i="13"/>
  <c r="H147" i="16"/>
  <c r="H96" i="18" s="1"/>
  <c r="C125" i="18"/>
  <c r="F125" i="18" s="1"/>
  <c r="I125" i="18" s="1"/>
  <c r="I101" i="13"/>
  <c r="I101" i="16"/>
  <c r="F101" i="13"/>
  <c r="F101" i="16" s="1"/>
  <c r="B125" i="18" s="1"/>
  <c r="D125" i="18" s="1"/>
  <c r="G101" i="13"/>
  <c r="G101" i="16" s="1"/>
  <c r="E125" i="18" s="1"/>
  <c r="G125" i="18" s="1"/>
  <c r="C126" i="18"/>
  <c r="F126" i="18" s="1"/>
  <c r="I102" i="13"/>
  <c r="I102" i="16"/>
  <c r="H102" i="16" s="1"/>
  <c r="H126" i="18" s="1"/>
  <c r="F102" i="13"/>
  <c r="F102" i="16"/>
  <c r="G102" i="13"/>
  <c r="G102" i="16"/>
  <c r="C127" i="18"/>
  <c r="F127" i="18" s="1"/>
  <c r="I127" i="18" s="1"/>
  <c r="I103" i="13"/>
  <c r="I103" i="16"/>
  <c r="F103" i="13"/>
  <c r="F103" i="16" s="1"/>
  <c r="B127" i="18" s="1"/>
  <c r="D127" i="18" s="1"/>
  <c r="G103" i="13"/>
  <c r="G103" i="16" s="1"/>
  <c r="E127" i="18" s="1"/>
  <c r="G127" i="18" s="1"/>
  <c r="C129" i="18"/>
  <c r="F129" i="18" s="1"/>
  <c r="I129" i="18" s="1"/>
  <c r="H166" i="13"/>
  <c r="H166" i="16"/>
  <c r="H129" i="18" s="1"/>
  <c r="J129" i="18" s="1"/>
  <c r="C131" i="18"/>
  <c r="F131" i="18"/>
  <c r="I131" i="18" s="1"/>
  <c r="H168" i="13"/>
  <c r="H168" i="16" s="1"/>
  <c r="H131" i="18" s="1"/>
  <c r="J131" i="18" s="1"/>
  <c r="C132" i="18"/>
  <c r="F132" i="18" s="1"/>
  <c r="I132" i="18" s="1"/>
  <c r="H169" i="13"/>
  <c r="H169" i="16"/>
  <c r="H132" i="18" s="1"/>
  <c r="J132" i="18" s="1"/>
  <c r="C133" i="18"/>
  <c r="F133" i="18"/>
  <c r="I133" i="18" s="1"/>
  <c r="H170" i="13"/>
  <c r="H170" i="16"/>
  <c r="H133" i="18" s="1"/>
  <c r="J133" i="18" s="1"/>
  <c r="C134" i="18"/>
  <c r="F134" i="18" s="1"/>
  <c r="I134" i="18" s="1"/>
  <c r="H171" i="13"/>
  <c r="H171" i="16"/>
  <c r="H134" i="18" s="1"/>
  <c r="J134" i="18" s="1"/>
  <c r="C135" i="18"/>
  <c r="F135" i="18"/>
  <c r="I135" i="18" s="1"/>
  <c r="H172" i="13"/>
  <c r="H172" i="16" s="1"/>
  <c r="H135" i="18" s="1"/>
  <c r="G107" i="18"/>
  <c r="E102" i="18"/>
  <c r="G102" i="18"/>
  <c r="E103" i="18"/>
  <c r="G103" i="18" s="1"/>
  <c r="E104" i="18"/>
  <c r="G104" i="18" s="1"/>
  <c r="E105" i="18"/>
  <c r="G105" i="18" s="1"/>
  <c r="E106" i="18"/>
  <c r="G106" i="18" s="1"/>
  <c r="E109" i="18"/>
  <c r="G109" i="18" s="1"/>
  <c r="E110" i="18"/>
  <c r="G110" i="18" s="1"/>
  <c r="E111" i="18"/>
  <c r="G111" i="18" s="1"/>
  <c r="E112" i="18"/>
  <c r="G112" i="18" s="1"/>
  <c r="G157" i="13"/>
  <c r="G155" i="16" s="1"/>
  <c r="E114" i="18" s="1"/>
  <c r="G114" i="18" s="1"/>
  <c r="G158" i="13"/>
  <c r="G156" i="16" s="1"/>
  <c r="E115" i="18" s="1"/>
  <c r="G115" i="18" s="1"/>
  <c r="G159" i="13"/>
  <c r="G157" i="16" s="1"/>
  <c r="E116" i="18" s="1"/>
  <c r="G116" i="18" s="1"/>
  <c r="G160" i="13"/>
  <c r="G158" i="16" s="1"/>
  <c r="E117" i="18" s="1"/>
  <c r="G117" i="18" s="1"/>
  <c r="G159" i="16"/>
  <c r="E118" i="18" s="1"/>
  <c r="G118" i="18" s="1"/>
  <c r="G160" i="16"/>
  <c r="E119" i="18"/>
  <c r="G119" i="18" s="1"/>
  <c r="G17" i="18"/>
  <c r="E24" i="18"/>
  <c r="G24" i="18"/>
  <c r="E25" i="18"/>
  <c r="G25" i="18"/>
  <c r="E26" i="18"/>
  <c r="G26" i="18"/>
  <c r="E27" i="18"/>
  <c r="G27" i="18"/>
  <c r="E28" i="18"/>
  <c r="G28" i="18"/>
  <c r="E29" i="18"/>
  <c r="G29" i="18"/>
  <c r="E30" i="18"/>
  <c r="G30" i="18"/>
  <c r="E31" i="18"/>
  <c r="G31" i="18"/>
  <c r="G21" i="13"/>
  <c r="G21" i="16"/>
  <c r="E33" i="18" s="1"/>
  <c r="G33" i="18" s="1"/>
  <c r="G23" i="13"/>
  <c r="G23" i="16"/>
  <c r="E34" i="18" s="1"/>
  <c r="G34" i="18" s="1"/>
  <c r="G26" i="13"/>
  <c r="G26" i="16"/>
  <c r="E35" i="18" s="1"/>
  <c r="G35" i="18" s="1"/>
  <c r="G28" i="13"/>
  <c r="G28" i="16"/>
  <c r="E36" i="18" s="1"/>
  <c r="G36" i="18" s="1"/>
  <c r="G30" i="13"/>
  <c r="G30" i="16"/>
  <c r="E37" i="18" s="1"/>
  <c r="G37" i="18" s="1"/>
  <c r="G32" i="13"/>
  <c r="G32" i="16"/>
  <c r="E38" i="18" s="1"/>
  <c r="G38" i="18" s="1"/>
  <c r="G40" i="18"/>
  <c r="G42" i="18"/>
  <c r="G44" i="18"/>
  <c r="E51" i="18"/>
  <c r="G51" i="18" s="1"/>
  <c r="E52" i="18"/>
  <c r="G52" i="18"/>
  <c r="E53" i="18"/>
  <c r="G53" i="18"/>
  <c r="G54" i="18"/>
  <c r="G55" i="18"/>
  <c r="G56" i="18"/>
  <c r="E57" i="18"/>
  <c r="G57" i="18" s="1"/>
  <c r="G59" i="18"/>
  <c r="G60" i="18"/>
  <c r="G61" i="18"/>
  <c r="G62" i="18"/>
  <c r="G63" i="18"/>
  <c r="G64" i="18"/>
  <c r="G134" i="13"/>
  <c r="G134" i="16" s="1"/>
  <c r="E66" i="18" s="1"/>
  <c r="G66" i="18" s="1"/>
  <c r="G72" i="18"/>
  <c r="G73" i="18"/>
  <c r="G74" i="18"/>
  <c r="G75" i="18"/>
  <c r="G76" i="18"/>
  <c r="G78" i="18"/>
  <c r="G80" i="18"/>
  <c r="G81" i="18"/>
  <c r="G82" i="18"/>
  <c r="G83" i="18"/>
  <c r="G84" i="18"/>
  <c r="G79" i="18"/>
  <c r="G86" i="18"/>
  <c r="E90" i="18"/>
  <c r="E92" i="18"/>
  <c r="G147" i="13"/>
  <c r="G147" i="16"/>
  <c r="E96" i="18" s="1"/>
  <c r="G96" i="18" s="1"/>
  <c r="E126" i="18"/>
  <c r="G166" i="13"/>
  <c r="G166" i="16"/>
  <c r="E129" i="18" s="1"/>
  <c r="G129" i="18" s="1"/>
  <c r="G168" i="13"/>
  <c r="G168" i="16"/>
  <c r="E131" i="18" s="1"/>
  <c r="G131" i="18" s="1"/>
  <c r="G169" i="13"/>
  <c r="G169" i="16"/>
  <c r="E132" i="18" s="1"/>
  <c r="G132" i="18" s="1"/>
  <c r="G170" i="13"/>
  <c r="G170" i="16"/>
  <c r="E133" i="18" s="1"/>
  <c r="G133" i="18" s="1"/>
  <c r="G171" i="13"/>
  <c r="G171" i="16"/>
  <c r="E134" i="18" s="1"/>
  <c r="G134" i="18" s="1"/>
  <c r="G172" i="13"/>
  <c r="G172" i="16"/>
  <c r="E135" i="18" s="1"/>
  <c r="G135" i="18" s="1"/>
  <c r="B24" i="18"/>
  <c r="D24" i="18"/>
  <c r="B25" i="18"/>
  <c r="D25" i="18"/>
  <c r="B26" i="18"/>
  <c r="D26" i="18"/>
  <c r="B27" i="18"/>
  <c r="D27" i="18"/>
  <c r="B28" i="18"/>
  <c r="D28" i="18"/>
  <c r="B29" i="18"/>
  <c r="D29" i="18"/>
  <c r="B30" i="18"/>
  <c r="D30" i="18"/>
  <c r="B31" i="18"/>
  <c r="D31" i="18"/>
  <c r="F21" i="13"/>
  <c r="F21" i="16"/>
  <c r="B33" i="18" s="1"/>
  <c r="D33" i="18" s="1"/>
  <c r="F23" i="13"/>
  <c r="F23" i="16"/>
  <c r="B34" i="18" s="1"/>
  <c r="D34" i="18" s="1"/>
  <c r="F26" i="13"/>
  <c r="F26" i="16"/>
  <c r="B35" i="18" s="1"/>
  <c r="D35" i="18" s="1"/>
  <c r="F28" i="13"/>
  <c r="F28" i="16"/>
  <c r="B36" i="18" s="1"/>
  <c r="D36" i="18" s="1"/>
  <c r="B37" i="18"/>
  <c r="D37" i="18"/>
  <c r="F32" i="13"/>
  <c r="F32" i="16"/>
  <c r="B38" i="18" s="1"/>
  <c r="D38" i="18" s="1"/>
  <c r="F123" i="13"/>
  <c r="F123" i="16"/>
  <c r="B40" i="18" s="1"/>
  <c r="D40" i="18" s="1"/>
  <c r="F124" i="13"/>
  <c r="F124" i="16"/>
  <c r="B41" i="18" s="1"/>
  <c r="D41" i="18" s="1"/>
  <c r="F125" i="13"/>
  <c r="F125" i="16"/>
  <c r="B42" i="18" s="1"/>
  <c r="D42" i="18" s="1"/>
  <c r="F126" i="13"/>
  <c r="F126" i="16"/>
  <c r="B43" i="18" s="1"/>
  <c r="D43" i="18" s="1"/>
  <c r="F127" i="13"/>
  <c r="F127" i="16"/>
  <c r="B44" i="18" s="1"/>
  <c r="D44" i="18" s="1"/>
  <c r="F128" i="13"/>
  <c r="F128" i="16"/>
  <c r="B45" i="18" s="1"/>
  <c r="D45" i="18" s="1"/>
  <c r="B51" i="18"/>
  <c r="D51" i="18"/>
  <c r="B52" i="18"/>
  <c r="D52" i="18"/>
  <c r="B53" i="18"/>
  <c r="D53" i="18"/>
  <c r="B54" i="18"/>
  <c r="D54" i="18"/>
  <c r="B55" i="18"/>
  <c r="D55" i="18"/>
  <c r="B56" i="18"/>
  <c r="D56" i="18"/>
  <c r="B57" i="18"/>
  <c r="D57" i="18"/>
  <c r="B59" i="18"/>
  <c r="D59" i="18"/>
  <c r="B60" i="18"/>
  <c r="D60" i="18"/>
  <c r="B61" i="18"/>
  <c r="D61" i="18"/>
  <c r="B62" i="18"/>
  <c r="D62" i="18"/>
  <c r="B63" i="18"/>
  <c r="D63" i="18"/>
  <c r="B64" i="18"/>
  <c r="D64" i="18"/>
  <c r="F134" i="13"/>
  <c r="F134" i="16"/>
  <c r="B66" i="18" s="1"/>
  <c r="D66" i="18" s="1"/>
  <c r="F60" i="13"/>
  <c r="F60" i="16"/>
  <c r="B72" i="18" s="1"/>
  <c r="D72" i="18" s="1"/>
  <c r="F58" i="13"/>
  <c r="F58" i="16"/>
  <c r="B73" i="18" s="1"/>
  <c r="D73" i="18" s="1"/>
  <c r="F59" i="13"/>
  <c r="F59" i="16"/>
  <c r="B74" i="18" s="1"/>
  <c r="D74" i="18" s="1"/>
  <c r="F61" i="13"/>
  <c r="F61" i="16"/>
  <c r="B75" i="18" s="1"/>
  <c r="D75" i="18" s="1"/>
  <c r="F62" i="13"/>
  <c r="F62" i="16"/>
  <c r="B76" i="18" s="1"/>
  <c r="D76" i="18" s="1"/>
  <c r="F68" i="13"/>
  <c r="F68" i="16"/>
  <c r="B78" i="18" s="1"/>
  <c r="D78" i="18" s="1"/>
  <c r="F71" i="13"/>
  <c r="F71" i="16"/>
  <c r="B80" i="18" s="1"/>
  <c r="D80" i="18" s="1"/>
  <c r="F70" i="13"/>
  <c r="F70" i="16"/>
  <c r="B81" i="18" s="1"/>
  <c r="D81" i="18" s="1"/>
  <c r="F140" i="13"/>
  <c r="F140" i="16"/>
  <c r="B82" i="18" s="1"/>
  <c r="D82" i="18" s="1"/>
  <c r="F141" i="13"/>
  <c r="F141" i="16"/>
  <c r="B83" i="18" s="1"/>
  <c r="D83" i="18" s="1"/>
  <c r="F72" i="13"/>
  <c r="F72" i="16"/>
  <c r="B84" i="18" s="1"/>
  <c r="D84" i="18" s="1"/>
  <c r="F69" i="13"/>
  <c r="F69" i="16"/>
  <c r="B79" i="18" s="1"/>
  <c r="D79" i="18" s="1"/>
  <c r="B90" i="18"/>
  <c r="D90" i="18"/>
  <c r="B92" i="18"/>
  <c r="D92" i="18"/>
  <c r="F147" i="13"/>
  <c r="F147" i="16"/>
  <c r="B96" i="18" s="1"/>
  <c r="D96" i="18" s="1"/>
  <c r="B102" i="18"/>
  <c r="D102" i="18"/>
  <c r="B103" i="18"/>
  <c r="D103" i="18"/>
  <c r="B104" i="18"/>
  <c r="D104" i="18"/>
  <c r="B105" i="18"/>
  <c r="D105" i="18"/>
  <c r="B106" i="18"/>
  <c r="D106" i="18"/>
  <c r="B109" i="18"/>
  <c r="D109" i="18"/>
  <c r="B110" i="18"/>
  <c r="D110" i="18"/>
  <c r="B111" i="18"/>
  <c r="D111" i="18"/>
  <c r="B112" i="18"/>
  <c r="D112" i="18"/>
  <c r="F155" i="13"/>
  <c r="F155" i="16"/>
  <c r="B114" i="18" s="1"/>
  <c r="D114" i="18" s="1"/>
  <c r="F156" i="13"/>
  <c r="F156" i="16"/>
  <c r="B115" i="18" s="1"/>
  <c r="D115" i="18" s="1"/>
  <c r="F157" i="13"/>
  <c r="F157" i="16"/>
  <c r="B116" i="18" s="1"/>
  <c r="D116" i="18" s="1"/>
  <c r="F158" i="13"/>
  <c r="F158" i="16"/>
  <c r="B117" i="18" s="1"/>
  <c r="D117" i="18" s="1"/>
  <c r="F159" i="13"/>
  <c r="F159" i="16"/>
  <c r="B118" i="18" s="1"/>
  <c r="D118" i="18" s="1"/>
  <c r="F160" i="13"/>
  <c r="F160" i="16"/>
  <c r="B119" i="18" s="1"/>
  <c r="D119" i="18" s="1"/>
  <c r="F153" i="13"/>
  <c r="F153" i="16"/>
  <c r="B107" i="18" s="1"/>
  <c r="D107" i="18" s="1"/>
  <c r="B126" i="18"/>
  <c r="D126" i="18"/>
  <c r="F166" i="13"/>
  <c r="F166" i="16"/>
  <c r="B129" i="18" s="1"/>
  <c r="D129" i="18" s="1"/>
  <c r="F168" i="13"/>
  <c r="F168" i="16"/>
  <c r="B131" i="18" s="1"/>
  <c r="D131" i="18" s="1"/>
  <c r="F169" i="13"/>
  <c r="F169" i="16"/>
  <c r="B132" i="18" s="1"/>
  <c r="D132" i="18" s="1"/>
  <c r="F170" i="13"/>
  <c r="F170" i="16"/>
  <c r="B133" i="18" s="1"/>
  <c r="D133" i="18" s="1"/>
  <c r="F171" i="13"/>
  <c r="F171" i="16"/>
  <c r="B134" i="18" s="1"/>
  <c r="D134" i="18" s="1"/>
  <c r="F172" i="13"/>
  <c r="F172" i="16"/>
  <c r="B135" i="18" s="1"/>
  <c r="D135" i="18" s="1"/>
  <c r="K14" i="14"/>
  <c r="K15" i="14"/>
  <c r="K21" i="14"/>
  <c r="K22" i="14"/>
  <c r="K23" i="14"/>
  <c r="K24" i="14"/>
  <c r="K25" i="14"/>
  <c r="K26" i="14"/>
  <c r="K27" i="14"/>
  <c r="K28" i="14"/>
  <c r="K46" i="14"/>
  <c r="K47" i="14"/>
  <c r="K48" i="14"/>
  <c r="K49" i="14"/>
  <c r="K50" i="14"/>
  <c r="K51" i="14"/>
  <c r="K52" i="14"/>
  <c r="K87" i="14"/>
  <c r="K88" i="14"/>
  <c r="K89" i="14"/>
  <c r="K97" i="14"/>
  <c r="K98" i="14"/>
  <c r="K99" i="14"/>
  <c r="K100" i="14"/>
  <c r="K101" i="14"/>
  <c r="K120" i="14"/>
  <c r="K121" i="14"/>
  <c r="K122" i="14"/>
  <c r="K17" i="14"/>
  <c r="K30" i="14"/>
  <c r="K31" i="14"/>
  <c r="K32" i="14"/>
  <c r="K33" i="14"/>
  <c r="K34" i="14"/>
  <c r="K35" i="14"/>
  <c r="K37" i="14"/>
  <c r="K38" i="14"/>
  <c r="K39" i="14"/>
  <c r="K40" i="14"/>
  <c r="K41" i="14"/>
  <c r="K42" i="14"/>
  <c r="K55" i="14"/>
  <c r="K56" i="14"/>
  <c r="K57" i="14"/>
  <c r="K58" i="14"/>
  <c r="K59" i="14"/>
  <c r="K60" i="14"/>
  <c r="K62" i="14"/>
  <c r="K68" i="14"/>
  <c r="K69" i="14"/>
  <c r="K70" i="14"/>
  <c r="K71" i="14"/>
  <c r="K72" i="14"/>
  <c r="K77" i="14"/>
  <c r="K78" i="14"/>
  <c r="K79" i="14"/>
  <c r="K80" i="14"/>
  <c r="K81" i="14"/>
  <c r="K82" i="14"/>
  <c r="K83" i="14"/>
  <c r="K91" i="14"/>
  <c r="K93" i="14"/>
  <c r="K103" i="14"/>
  <c r="K105" i="14"/>
  <c r="K106" i="14"/>
  <c r="K107" i="14"/>
  <c r="K108" i="14"/>
  <c r="K110" i="14"/>
  <c r="K111" i="14"/>
  <c r="K112" i="14"/>
  <c r="K113" i="14"/>
  <c r="K114" i="14"/>
  <c r="K115" i="14"/>
  <c r="K124" i="14"/>
  <c r="K126" i="14"/>
  <c r="K127" i="14"/>
  <c r="K128" i="14"/>
  <c r="K129" i="14"/>
  <c r="K130" i="14"/>
  <c r="E103" i="14"/>
  <c r="F146" i="14"/>
  <c r="H146" i="14"/>
  <c r="F147" i="14"/>
  <c r="H147" i="14"/>
  <c r="H153" i="14"/>
  <c r="F155" i="14"/>
  <c r="F156" i="14" s="1"/>
  <c r="H156" i="14" s="1"/>
  <c r="G155" i="14"/>
  <c r="G156" i="14"/>
  <c r="C17" i="15"/>
  <c r="F17" i="15"/>
  <c r="I17" i="15" s="1"/>
  <c r="H19" i="13"/>
  <c r="H24" i="15" s="1"/>
  <c r="J24" i="15" s="1"/>
  <c r="H20" i="13"/>
  <c r="H25" i="15"/>
  <c r="J25" i="15" s="1"/>
  <c r="H22" i="13"/>
  <c r="H26" i="15" s="1"/>
  <c r="J26" i="15" s="1"/>
  <c r="H24" i="13"/>
  <c r="H27" i="15"/>
  <c r="J27" i="15" s="1"/>
  <c r="H27" i="13"/>
  <c r="H28" i="15" s="1"/>
  <c r="J28" i="15" s="1"/>
  <c r="H29" i="13"/>
  <c r="H29" i="15"/>
  <c r="J29" i="15" s="1"/>
  <c r="H31" i="13"/>
  <c r="H30" i="15" s="1"/>
  <c r="J30" i="15" s="1"/>
  <c r="H25" i="13"/>
  <c r="H31" i="15"/>
  <c r="J31" i="15" s="1"/>
  <c r="I21" i="13"/>
  <c r="H21" i="13" s="1"/>
  <c r="H33" i="15" s="1"/>
  <c r="J33" i="15" s="1"/>
  <c r="I23" i="13"/>
  <c r="H23" i="13" s="1"/>
  <c r="H34" i="15" s="1"/>
  <c r="J34" i="15" s="1"/>
  <c r="I26" i="13"/>
  <c r="H26" i="13" s="1"/>
  <c r="H35" i="15" s="1"/>
  <c r="J35" i="15" s="1"/>
  <c r="I28" i="13"/>
  <c r="H28" i="13" s="1"/>
  <c r="H36" i="15" s="1"/>
  <c r="J36" i="15" s="1"/>
  <c r="I30" i="13"/>
  <c r="F30" i="13"/>
  <c r="H30" i="13"/>
  <c r="H37" i="15" s="1"/>
  <c r="J37" i="15" s="1"/>
  <c r="I32" i="13"/>
  <c r="H32" i="13"/>
  <c r="H38" i="15" s="1"/>
  <c r="J38" i="15" s="1"/>
  <c r="J40" i="15"/>
  <c r="J41" i="15"/>
  <c r="J42" i="15"/>
  <c r="J43" i="15"/>
  <c r="J44" i="15"/>
  <c r="J45" i="15"/>
  <c r="H38" i="13"/>
  <c r="H51" i="15"/>
  <c r="J51" i="15" s="1"/>
  <c r="H40" i="13"/>
  <c r="H52" i="15" s="1"/>
  <c r="J52" i="15" s="1"/>
  <c r="H46" i="13"/>
  <c r="H53" i="15"/>
  <c r="J53" i="15" s="1"/>
  <c r="H47" i="13"/>
  <c r="H54" i="15" s="1"/>
  <c r="J54" i="15" s="1"/>
  <c r="H49" i="13"/>
  <c r="H55" i="15"/>
  <c r="J55" i="15" s="1"/>
  <c r="H44" i="13"/>
  <c r="H56" i="15" s="1"/>
  <c r="J56" i="15" s="1"/>
  <c r="H42" i="13"/>
  <c r="H57" i="15"/>
  <c r="J57" i="15" s="1"/>
  <c r="H48" i="13"/>
  <c r="H59" i="15" s="1"/>
  <c r="J59" i="15" s="1"/>
  <c r="H50" i="13"/>
  <c r="H60" i="15"/>
  <c r="J60" i="15" s="1"/>
  <c r="H45" i="13"/>
  <c r="H61" i="15" s="1"/>
  <c r="J61" i="15" s="1"/>
  <c r="H43" i="13"/>
  <c r="H62" i="15"/>
  <c r="J62" i="15" s="1"/>
  <c r="H39" i="13"/>
  <c r="H63" i="15" s="1"/>
  <c r="J63" i="15" s="1"/>
  <c r="H41" i="13"/>
  <c r="H64" i="15"/>
  <c r="J64" i="15" s="1"/>
  <c r="H66" i="15"/>
  <c r="J66" i="15" s="1"/>
  <c r="I60" i="13"/>
  <c r="G60" i="13"/>
  <c r="H60" i="13"/>
  <c r="H72" i="15" s="1"/>
  <c r="J72" i="15" s="1"/>
  <c r="I58" i="13"/>
  <c r="G58" i="13"/>
  <c r="H58" i="13" s="1"/>
  <c r="H73" i="15" s="1"/>
  <c r="J73" i="15" s="1"/>
  <c r="I59" i="13"/>
  <c r="G59" i="13"/>
  <c r="H59" i="13"/>
  <c r="H74" i="15" s="1"/>
  <c r="J74" i="15" s="1"/>
  <c r="I61" i="13"/>
  <c r="G61" i="13"/>
  <c r="H61" i="13" s="1"/>
  <c r="H75" i="15" s="1"/>
  <c r="J75" i="15" s="1"/>
  <c r="I62" i="13"/>
  <c r="G62" i="13"/>
  <c r="H62" i="13"/>
  <c r="H76" i="15" s="1"/>
  <c r="J76" i="15" s="1"/>
  <c r="I68" i="13"/>
  <c r="G68" i="13"/>
  <c r="H68" i="13" s="1"/>
  <c r="H78" i="15" s="1"/>
  <c r="J78" i="15" s="1"/>
  <c r="I70" i="13"/>
  <c r="G70" i="13"/>
  <c r="H70" i="13"/>
  <c r="H80" i="15" s="1"/>
  <c r="J80" i="15" s="1"/>
  <c r="I71" i="13"/>
  <c r="G71" i="13"/>
  <c r="H71" i="13" s="1"/>
  <c r="H81" i="15" s="1"/>
  <c r="J81" i="15" s="1"/>
  <c r="J82" i="15"/>
  <c r="J83" i="15"/>
  <c r="I72" i="13"/>
  <c r="G72" i="13"/>
  <c r="H72" i="13"/>
  <c r="H84" i="15" s="1"/>
  <c r="J84" i="15" s="1"/>
  <c r="I69" i="13"/>
  <c r="G69" i="13"/>
  <c r="H69" i="13" s="1"/>
  <c r="H79" i="15" s="1"/>
  <c r="J79" i="15" s="1"/>
  <c r="H78" i="13"/>
  <c r="H90" i="15" s="1"/>
  <c r="J90" i="15" s="1"/>
  <c r="H79" i="13"/>
  <c r="H91" i="15"/>
  <c r="J91" i="15" s="1"/>
  <c r="H80" i="13"/>
  <c r="H92" i="15" s="1"/>
  <c r="J92" i="15" s="1"/>
  <c r="H81" i="13"/>
  <c r="H94" i="15"/>
  <c r="J94" i="15" s="1"/>
  <c r="H96" i="15"/>
  <c r="J96" i="15" s="1"/>
  <c r="H87" i="13"/>
  <c r="H102" i="15" s="1"/>
  <c r="J102" i="15" s="1"/>
  <c r="H89" i="13"/>
  <c r="H103" i="15"/>
  <c r="H91" i="13"/>
  <c r="H104" i="15"/>
  <c r="J104" i="15" s="1"/>
  <c r="H93" i="13"/>
  <c r="H105" i="15" s="1"/>
  <c r="J105" i="15" s="1"/>
  <c r="H95" i="13"/>
  <c r="H106" i="15"/>
  <c r="J106" i="15" s="1"/>
  <c r="H88" i="13"/>
  <c r="H109" i="15" s="1"/>
  <c r="J109" i="15" s="1"/>
  <c r="H90" i="13"/>
  <c r="H110" i="15"/>
  <c r="J110" i="15" s="1"/>
  <c r="H92" i="13"/>
  <c r="H111" i="15" s="1"/>
  <c r="J111" i="15" s="1"/>
  <c r="H94" i="13"/>
  <c r="H112" i="15"/>
  <c r="J112" i="15" s="1"/>
  <c r="H155" i="13"/>
  <c r="H114" i="15" s="1"/>
  <c r="J114" i="15" s="1"/>
  <c r="H156" i="13"/>
  <c r="H115" i="15"/>
  <c r="J115" i="15" s="1"/>
  <c r="H116" i="15"/>
  <c r="J116" i="15" s="1"/>
  <c r="H117" i="15"/>
  <c r="J117" i="15" s="1"/>
  <c r="H118" i="15"/>
  <c r="J118" i="15" s="1"/>
  <c r="H119" i="15"/>
  <c r="J119" i="15" s="1"/>
  <c r="H101" i="13"/>
  <c r="H125" i="15" s="1"/>
  <c r="J125" i="15" s="1"/>
  <c r="H102" i="13"/>
  <c r="H126" i="15"/>
  <c r="J126" i="15" s="1"/>
  <c r="H103" i="13"/>
  <c r="H127" i="15" s="1"/>
  <c r="J127" i="15" s="1"/>
  <c r="H129" i="15"/>
  <c r="J129" i="15"/>
  <c r="H131" i="15"/>
  <c r="J131" i="15"/>
  <c r="H132" i="15"/>
  <c r="J132" i="15"/>
  <c r="H133" i="15"/>
  <c r="J133" i="15"/>
  <c r="H134" i="15"/>
  <c r="J134" i="15"/>
  <c r="H135" i="15"/>
  <c r="J135" i="15"/>
  <c r="E17" i="15"/>
  <c r="G17" i="15"/>
  <c r="E24" i="15"/>
  <c r="G24" i="15"/>
  <c r="E25" i="15"/>
  <c r="G25" i="15" s="1"/>
  <c r="E26" i="15"/>
  <c r="G26" i="15" s="1"/>
  <c r="E27" i="15"/>
  <c r="G27" i="15" s="1"/>
  <c r="E28" i="15"/>
  <c r="G28" i="15" s="1"/>
  <c r="E29" i="15"/>
  <c r="G29" i="15" s="1"/>
  <c r="E30" i="15"/>
  <c r="G30" i="15" s="1"/>
  <c r="E31" i="15"/>
  <c r="G31" i="15" s="1"/>
  <c r="E33" i="15"/>
  <c r="G33" i="15" s="1"/>
  <c r="E34" i="15"/>
  <c r="G34" i="15" s="1"/>
  <c r="E35" i="15"/>
  <c r="G35" i="15" s="1"/>
  <c r="E36" i="15"/>
  <c r="G36" i="15" s="1"/>
  <c r="E37" i="15"/>
  <c r="G37" i="15" s="1"/>
  <c r="E38" i="15"/>
  <c r="G38" i="15" s="1"/>
  <c r="G40" i="15"/>
  <c r="G41" i="15"/>
  <c r="G42" i="15"/>
  <c r="G43" i="15"/>
  <c r="G44" i="15"/>
  <c r="G45" i="15"/>
  <c r="E51" i="15"/>
  <c r="G51" i="15" s="1"/>
  <c r="E52" i="15"/>
  <c r="G52" i="15" s="1"/>
  <c r="E53" i="15"/>
  <c r="G53" i="15" s="1"/>
  <c r="E54" i="15"/>
  <c r="G54" i="15" s="1"/>
  <c r="E55" i="15"/>
  <c r="G55" i="15" s="1"/>
  <c r="E56" i="15"/>
  <c r="G56" i="15" s="1"/>
  <c r="E57" i="15"/>
  <c r="G57" i="15" s="1"/>
  <c r="E59" i="15"/>
  <c r="G59" i="15" s="1"/>
  <c r="E60" i="15"/>
  <c r="G60" i="15" s="1"/>
  <c r="E61" i="15"/>
  <c r="G61" i="15" s="1"/>
  <c r="E62" i="15"/>
  <c r="G62" i="15" s="1"/>
  <c r="E63" i="15"/>
  <c r="G63" i="15" s="1"/>
  <c r="E64" i="15"/>
  <c r="G64" i="15" s="1"/>
  <c r="E66" i="15"/>
  <c r="G66" i="15" s="1"/>
  <c r="G72" i="15"/>
  <c r="G73" i="15"/>
  <c r="G74" i="15"/>
  <c r="G75" i="15"/>
  <c r="G86" i="15" s="1"/>
  <c r="G76" i="15"/>
  <c r="G78" i="15"/>
  <c r="G80" i="15"/>
  <c r="G81" i="15"/>
  <c r="G82" i="15"/>
  <c r="G83" i="15"/>
  <c r="G84" i="15"/>
  <c r="G79" i="15"/>
  <c r="E90" i="15"/>
  <c r="G90" i="15"/>
  <c r="E91" i="15"/>
  <c r="G91" i="15"/>
  <c r="E92" i="15"/>
  <c r="G92" i="15"/>
  <c r="E94" i="15"/>
  <c r="G94" i="15"/>
  <c r="E96" i="15"/>
  <c r="G96" i="15"/>
  <c r="E102" i="15"/>
  <c r="G102" i="15"/>
  <c r="E103" i="15"/>
  <c r="E104" i="15"/>
  <c r="G104" i="15" s="1"/>
  <c r="E105" i="15"/>
  <c r="G105" i="15" s="1"/>
  <c r="E106" i="15"/>
  <c r="G106" i="15" s="1"/>
  <c r="E109" i="15"/>
  <c r="G109" i="15" s="1"/>
  <c r="E110" i="15"/>
  <c r="G110" i="15" s="1"/>
  <c r="E111" i="15"/>
  <c r="G111" i="15" s="1"/>
  <c r="E112" i="15"/>
  <c r="G112" i="15" s="1"/>
  <c r="G155" i="13"/>
  <c r="E114" i="15" s="1"/>
  <c r="G114" i="15" s="1"/>
  <c r="G156" i="13"/>
  <c r="E115" i="15"/>
  <c r="G115" i="15" s="1"/>
  <c r="E116" i="15"/>
  <c r="G116" i="15" s="1"/>
  <c r="E117" i="15"/>
  <c r="G117" i="15" s="1"/>
  <c r="E118" i="15"/>
  <c r="G118" i="15" s="1"/>
  <c r="E119" i="15"/>
  <c r="G119" i="15" s="1"/>
  <c r="E107" i="15"/>
  <c r="G107" i="15" s="1"/>
  <c r="E125" i="15"/>
  <c r="G125" i="15" s="1"/>
  <c r="E126" i="15"/>
  <c r="G126" i="15" s="1"/>
  <c r="E127" i="15"/>
  <c r="G127" i="15" s="1"/>
  <c r="E129" i="15"/>
  <c r="G129" i="15" s="1"/>
  <c r="E131" i="15"/>
  <c r="G131" i="15" s="1"/>
  <c r="E132" i="15"/>
  <c r="G132" i="15" s="1"/>
  <c r="E133" i="15"/>
  <c r="G133" i="15" s="1"/>
  <c r="E134" i="15"/>
  <c r="G134" i="15" s="1"/>
  <c r="E135" i="15"/>
  <c r="G135" i="15" s="1"/>
  <c r="B24" i="15"/>
  <c r="D24" i="15" s="1"/>
  <c r="B25" i="15"/>
  <c r="D25" i="15"/>
  <c r="B26" i="15"/>
  <c r="D26" i="15"/>
  <c r="B27" i="15"/>
  <c r="D27" i="15"/>
  <c r="B28" i="15"/>
  <c r="D28" i="15"/>
  <c r="B29" i="15"/>
  <c r="D29" i="15"/>
  <c r="B30" i="15"/>
  <c r="D30" i="15"/>
  <c r="B31" i="15"/>
  <c r="D31" i="15"/>
  <c r="B33" i="15"/>
  <c r="D33" i="15"/>
  <c r="B34" i="15"/>
  <c r="D34" i="15"/>
  <c r="B35" i="15"/>
  <c r="D35" i="15"/>
  <c r="B36" i="15"/>
  <c r="D36" i="15"/>
  <c r="B37" i="15"/>
  <c r="D37" i="15"/>
  <c r="B38" i="15"/>
  <c r="D38" i="15"/>
  <c r="B40" i="15"/>
  <c r="D40" i="15"/>
  <c r="B41" i="15"/>
  <c r="D41" i="15"/>
  <c r="B42" i="15"/>
  <c r="D42" i="15"/>
  <c r="B43" i="15"/>
  <c r="D43" i="15"/>
  <c r="B44" i="15"/>
  <c r="D44" i="15"/>
  <c r="B45" i="15"/>
  <c r="D45" i="15"/>
  <c r="B51" i="15"/>
  <c r="D51" i="15"/>
  <c r="B52" i="15"/>
  <c r="D52" i="15"/>
  <c r="B53" i="15"/>
  <c r="D53" i="15"/>
  <c r="B54" i="15"/>
  <c r="D54" i="15"/>
  <c r="B55" i="15"/>
  <c r="D55" i="15"/>
  <c r="B56" i="15"/>
  <c r="D56" i="15"/>
  <c r="B57" i="15"/>
  <c r="D57" i="15"/>
  <c r="B59" i="15"/>
  <c r="D59" i="15"/>
  <c r="B60" i="15"/>
  <c r="D60" i="15"/>
  <c r="B61" i="15"/>
  <c r="D61" i="15"/>
  <c r="B62" i="15"/>
  <c r="D62" i="15"/>
  <c r="B63" i="15"/>
  <c r="D63" i="15"/>
  <c r="B64" i="15"/>
  <c r="D64" i="15"/>
  <c r="B66" i="15"/>
  <c r="D66" i="15"/>
  <c r="B72" i="15"/>
  <c r="D72" i="15" s="1"/>
  <c r="B73" i="15"/>
  <c r="D73" i="15" s="1"/>
  <c r="B74" i="15"/>
  <c r="D74" i="15" s="1"/>
  <c r="B75" i="15"/>
  <c r="D75" i="15" s="1"/>
  <c r="B76" i="15"/>
  <c r="D76" i="15" s="1"/>
  <c r="B78" i="15"/>
  <c r="D78" i="15" s="1"/>
  <c r="B80" i="15"/>
  <c r="D80" i="15" s="1"/>
  <c r="B81" i="15"/>
  <c r="D81" i="15" s="1"/>
  <c r="B82" i="15"/>
  <c r="D82" i="15" s="1"/>
  <c r="B83" i="15"/>
  <c r="D83" i="15" s="1"/>
  <c r="B84" i="15"/>
  <c r="D84" i="15" s="1"/>
  <c r="B79" i="15"/>
  <c r="D79" i="15" s="1"/>
  <c r="B90" i="15"/>
  <c r="D90" i="15" s="1"/>
  <c r="B91" i="15"/>
  <c r="D91" i="15" s="1"/>
  <c r="B92" i="15"/>
  <c r="D92" i="15" s="1"/>
  <c r="B94" i="15"/>
  <c r="D94" i="15" s="1"/>
  <c r="B96" i="15"/>
  <c r="D96" i="15" s="1"/>
  <c r="D98" i="15"/>
  <c r="B102" i="15"/>
  <c r="D102" i="15"/>
  <c r="B103" i="15"/>
  <c r="B104" i="15"/>
  <c r="D104" i="15" s="1"/>
  <c r="B105" i="15"/>
  <c r="D105" i="15" s="1"/>
  <c r="B106" i="15"/>
  <c r="D106" i="15" s="1"/>
  <c r="B109" i="15"/>
  <c r="D109" i="15" s="1"/>
  <c r="B110" i="15"/>
  <c r="D110" i="15" s="1"/>
  <c r="B111" i="15"/>
  <c r="D111" i="15" s="1"/>
  <c r="B112" i="15"/>
  <c r="D112" i="15" s="1"/>
  <c r="B114" i="15"/>
  <c r="D114" i="15" s="1"/>
  <c r="B115" i="15"/>
  <c r="D115" i="15" s="1"/>
  <c r="B116" i="15"/>
  <c r="D116" i="15" s="1"/>
  <c r="B117" i="15"/>
  <c r="D117" i="15" s="1"/>
  <c r="B118" i="15"/>
  <c r="D118" i="15" s="1"/>
  <c r="B119" i="15"/>
  <c r="D119" i="15" s="1"/>
  <c r="B107" i="15"/>
  <c r="D107" i="15" s="1"/>
  <c r="B125" i="15"/>
  <c r="D125" i="15" s="1"/>
  <c r="D137" i="15" s="1"/>
  <c r="B126" i="15"/>
  <c r="D126" i="15" s="1"/>
  <c r="B127" i="15"/>
  <c r="D127" i="15" s="1"/>
  <c r="B129" i="15"/>
  <c r="D129" i="15" s="1"/>
  <c r="B131" i="15"/>
  <c r="D131" i="15" s="1"/>
  <c r="B132" i="15"/>
  <c r="D132" i="15" s="1"/>
  <c r="B133" i="15"/>
  <c r="D133" i="15" s="1"/>
  <c r="B134" i="15"/>
  <c r="D134" i="15" s="1"/>
  <c r="B135" i="15"/>
  <c r="D135" i="15" s="1"/>
  <c r="H45" i="12"/>
  <c r="H44" i="12"/>
  <c r="H43" i="12"/>
  <c r="H42" i="12"/>
  <c r="H41" i="12"/>
  <c r="H40" i="12"/>
  <c r="H38" i="12"/>
  <c r="H37" i="12"/>
  <c r="H36" i="12"/>
  <c r="H35" i="12"/>
  <c r="H34" i="12"/>
  <c r="H33" i="12"/>
  <c r="H31" i="12"/>
  <c r="H30" i="12"/>
  <c r="H29" i="12"/>
  <c r="H28" i="12"/>
  <c r="H27" i="12"/>
  <c r="H26" i="12"/>
  <c r="H25" i="12"/>
  <c r="H24" i="12"/>
  <c r="I27" i="4"/>
  <c r="I26" i="4"/>
  <c r="I17" i="4"/>
  <c r="K10" i="4"/>
  <c r="K11" i="4"/>
  <c r="K13" i="4"/>
  <c r="O13" i="4" s="1"/>
  <c r="P13" i="4"/>
  <c r="K17" i="4"/>
  <c r="K18" i="4"/>
  <c r="K19" i="4"/>
  <c r="K20" i="4"/>
  <c r="K21" i="4"/>
  <c r="K22" i="4"/>
  <c r="K23" i="4"/>
  <c r="H154" i="4"/>
  <c r="H155" i="4"/>
  <c r="K24" i="4"/>
  <c r="K26" i="4"/>
  <c r="P26" i="4"/>
  <c r="K27" i="4"/>
  <c r="P27" i="4"/>
  <c r="K28" i="4"/>
  <c r="P28" i="4"/>
  <c r="K29" i="4"/>
  <c r="P29" i="4"/>
  <c r="K30" i="4"/>
  <c r="P30" i="4"/>
  <c r="K31" i="4"/>
  <c r="P31" i="4"/>
  <c r="K33" i="4"/>
  <c r="O33" i="4"/>
  <c r="P33" i="4"/>
  <c r="K34" i="4"/>
  <c r="O34" i="4" s="1"/>
  <c r="K35" i="4"/>
  <c r="O35" i="4"/>
  <c r="P35" i="4"/>
  <c r="K36" i="4"/>
  <c r="O36" i="4" s="1"/>
  <c r="P36" i="4"/>
  <c r="K37" i="4"/>
  <c r="O37" i="4"/>
  <c r="P37" i="4"/>
  <c r="K38" i="4"/>
  <c r="O38" i="4" s="1"/>
  <c r="K42" i="4"/>
  <c r="K43" i="4"/>
  <c r="K44" i="4"/>
  <c r="K45" i="4"/>
  <c r="K46" i="4"/>
  <c r="K47" i="4"/>
  <c r="K48" i="4"/>
  <c r="K51" i="4"/>
  <c r="P51" i="4" s="1"/>
  <c r="K52" i="4"/>
  <c r="P52" i="4" s="1"/>
  <c r="K53" i="4"/>
  <c r="P53" i="4" s="1"/>
  <c r="K54" i="4"/>
  <c r="P54" i="4" s="1"/>
  <c r="K55" i="4"/>
  <c r="P55" i="4" s="1"/>
  <c r="K56" i="4"/>
  <c r="P56" i="4" s="1"/>
  <c r="K58" i="4"/>
  <c r="O58" i="4" s="1"/>
  <c r="P58" i="4"/>
  <c r="K64" i="4"/>
  <c r="O64" i="4"/>
  <c r="P64" i="4"/>
  <c r="K65" i="4"/>
  <c r="O65" i="4" s="1"/>
  <c r="K66" i="4"/>
  <c r="O66" i="4"/>
  <c r="P66" i="4"/>
  <c r="K67" i="4"/>
  <c r="O67" i="4" s="1"/>
  <c r="P67" i="4"/>
  <c r="K68" i="4"/>
  <c r="O68" i="4"/>
  <c r="P68" i="4"/>
  <c r="K73" i="4"/>
  <c r="O73" i="4" s="1"/>
  <c r="K74" i="4"/>
  <c r="O74" i="4"/>
  <c r="P74" i="4"/>
  <c r="K75" i="4"/>
  <c r="O75" i="4" s="1"/>
  <c r="P75" i="4"/>
  <c r="K76" i="4"/>
  <c r="O76" i="4"/>
  <c r="P76" i="4"/>
  <c r="K77" i="4"/>
  <c r="O77" i="4" s="1"/>
  <c r="K78" i="4"/>
  <c r="O78" i="4"/>
  <c r="P78" i="4"/>
  <c r="K79" i="4"/>
  <c r="O79" i="4" s="1"/>
  <c r="P79" i="4"/>
  <c r="K83" i="4"/>
  <c r="K84" i="4"/>
  <c r="K85" i="4"/>
  <c r="K87" i="4"/>
  <c r="P87" i="4" s="1"/>
  <c r="K89" i="4"/>
  <c r="P89" i="4" s="1"/>
  <c r="O89" i="4"/>
  <c r="K93" i="4"/>
  <c r="K94" i="4"/>
  <c r="K95" i="4"/>
  <c r="K96" i="4"/>
  <c r="K97" i="4"/>
  <c r="K99" i="4"/>
  <c r="P99" i="4" s="1"/>
  <c r="K101" i="4"/>
  <c r="P101" i="4" s="1"/>
  <c r="K102" i="4"/>
  <c r="P102" i="4" s="1"/>
  <c r="K103" i="4"/>
  <c r="P103" i="4" s="1"/>
  <c r="K104" i="4"/>
  <c r="P104" i="4" s="1"/>
  <c r="K106" i="4"/>
  <c r="O106" i="4" s="1"/>
  <c r="P106" i="4"/>
  <c r="K107" i="4"/>
  <c r="O107" i="4"/>
  <c r="P107" i="4"/>
  <c r="K108" i="4"/>
  <c r="O108" i="4" s="1"/>
  <c r="K109" i="4"/>
  <c r="O109" i="4"/>
  <c r="P109" i="4"/>
  <c r="K110" i="4"/>
  <c r="O110" i="4" s="1"/>
  <c r="P110" i="4"/>
  <c r="K111" i="4"/>
  <c r="O111" i="4"/>
  <c r="P111" i="4"/>
  <c r="K116" i="4"/>
  <c r="K117" i="4"/>
  <c r="K118" i="4"/>
  <c r="K120" i="4"/>
  <c r="P120" i="4"/>
  <c r="K122" i="4"/>
  <c r="P122" i="4"/>
  <c r="O122" i="4"/>
  <c r="K123" i="4"/>
  <c r="P123" i="4" s="1"/>
  <c r="K124" i="4"/>
  <c r="P124" i="4"/>
  <c r="O124" i="4"/>
  <c r="K125" i="4"/>
  <c r="P125" i="4" s="1"/>
  <c r="O125" i="4"/>
  <c r="K126" i="4"/>
  <c r="P126" i="4"/>
  <c r="O126" i="4"/>
  <c r="I10" i="4"/>
  <c r="I11" i="4"/>
  <c r="I18" i="4"/>
  <c r="I19" i="4"/>
  <c r="I20" i="4"/>
  <c r="I21" i="4"/>
  <c r="I22" i="4"/>
  <c r="I23" i="4"/>
  <c r="I24" i="4"/>
  <c r="I28" i="4"/>
  <c r="I29" i="4"/>
  <c r="I30" i="4"/>
  <c r="I31" i="4"/>
  <c r="I33" i="4"/>
  <c r="I34" i="4"/>
  <c r="I35" i="4"/>
  <c r="I36" i="4"/>
  <c r="I37" i="4"/>
  <c r="I38" i="4"/>
  <c r="I42" i="4"/>
  <c r="I43" i="4"/>
  <c r="I44" i="4"/>
  <c r="I45" i="4"/>
  <c r="I46" i="4"/>
  <c r="I47" i="4"/>
  <c r="I48" i="4"/>
  <c r="I51" i="4"/>
  <c r="I52" i="4"/>
  <c r="I53" i="4"/>
  <c r="I54" i="4"/>
  <c r="I55" i="4"/>
  <c r="I56" i="4"/>
  <c r="I58" i="4"/>
  <c r="I64" i="4"/>
  <c r="I65" i="4"/>
  <c r="I66" i="4"/>
  <c r="I67" i="4"/>
  <c r="I68" i="4"/>
  <c r="I73" i="4"/>
  <c r="I74" i="4"/>
  <c r="I75" i="4"/>
  <c r="I76" i="4"/>
  <c r="I77" i="4"/>
  <c r="I78" i="4"/>
  <c r="I79" i="4"/>
  <c r="I83" i="4"/>
  <c r="I84" i="4"/>
  <c r="I85" i="4"/>
  <c r="I87" i="4"/>
  <c r="I89" i="4"/>
  <c r="I93" i="4"/>
  <c r="I94" i="4"/>
  <c r="I95" i="4"/>
  <c r="I96" i="4"/>
  <c r="I97" i="4"/>
  <c r="I99" i="4"/>
  <c r="I101" i="4"/>
  <c r="I102" i="4"/>
  <c r="I103" i="4"/>
  <c r="I104" i="4"/>
  <c r="I106" i="4"/>
  <c r="I107" i="4"/>
  <c r="I108" i="4"/>
  <c r="I109" i="4"/>
  <c r="I110" i="4"/>
  <c r="I111" i="4"/>
  <c r="I116" i="4"/>
  <c r="I117" i="4"/>
  <c r="I118" i="4"/>
  <c r="I120" i="4"/>
  <c r="I122" i="4"/>
  <c r="I123" i="4"/>
  <c r="I124" i="4"/>
  <c r="I125" i="4"/>
  <c r="I126" i="4"/>
  <c r="F145" i="4"/>
  <c r="F154" i="4"/>
  <c r="I152" i="4"/>
  <c r="C15" i="12"/>
  <c r="F15" i="12" s="1"/>
  <c r="I15" i="12" s="1"/>
  <c r="M15" i="12" s="1"/>
  <c r="O15" i="12" s="1"/>
  <c r="P15" i="12" s="1"/>
  <c r="I32" i="16"/>
  <c r="I35" i="17" s="1"/>
  <c r="I30" i="16"/>
  <c r="I34" i="17" s="1"/>
  <c r="I28" i="16"/>
  <c r="I33" i="17" s="1"/>
  <c r="I26" i="16"/>
  <c r="I32" i="17" s="1"/>
  <c r="I23" i="16"/>
  <c r="I31" i="17" s="1"/>
  <c r="I21" i="16"/>
  <c r="I30" i="17" s="1"/>
  <c r="I28" i="17"/>
  <c r="I27" i="17"/>
  <c r="I26" i="17"/>
  <c r="I25" i="17"/>
  <c r="I24" i="17"/>
  <c r="I23" i="17"/>
  <c r="I22" i="17"/>
  <c r="I21" i="17"/>
  <c r="C44" i="20"/>
  <c r="D44" i="20"/>
  <c r="B32" i="20"/>
  <c r="C32" i="20"/>
  <c r="D42" i="20"/>
  <c r="D43" i="20"/>
  <c r="D46" i="20" s="1"/>
  <c r="B48" i="20"/>
  <c r="C48" i="20"/>
  <c r="D48" i="20"/>
  <c r="D60" i="20"/>
  <c r="B66" i="20"/>
  <c r="C66" i="20"/>
  <c r="I134" i="13"/>
  <c r="I62" i="14" s="1"/>
  <c r="I60" i="14"/>
  <c r="I59" i="14"/>
  <c r="I58" i="14"/>
  <c r="I57" i="14"/>
  <c r="I56" i="14"/>
  <c r="I55" i="14"/>
  <c r="I52" i="14"/>
  <c r="I51" i="14"/>
  <c r="I50" i="14"/>
  <c r="I49" i="14"/>
  <c r="I35" i="14"/>
  <c r="I34" i="14"/>
  <c r="I33" i="14"/>
  <c r="I32" i="14"/>
  <c r="I31" i="14"/>
  <c r="I30" i="14"/>
  <c r="P61" i="17"/>
  <c r="O61" i="17"/>
  <c r="N61" i="17"/>
  <c r="Q61" i="17" s="1"/>
  <c r="S107" i="15"/>
  <c r="C129" i="12"/>
  <c r="I153" i="13"/>
  <c r="I103" i="14" s="1"/>
  <c r="I153" i="16"/>
  <c r="I103" i="17" s="1"/>
  <c r="I58" i="17"/>
  <c r="M1" i="18"/>
  <c r="F155" i="17"/>
  <c r="H155" i="17" s="1"/>
  <c r="F146" i="17"/>
  <c r="H146" i="17" s="1"/>
  <c r="F109" i="13"/>
  <c r="F109" i="16" s="1"/>
  <c r="I109" i="16" s="1"/>
  <c r="I130" i="17"/>
  <c r="I129" i="17"/>
  <c r="I128" i="17"/>
  <c r="I127" i="17"/>
  <c r="I126" i="17"/>
  <c r="I166" i="16"/>
  <c r="I124" i="17"/>
  <c r="I122" i="17"/>
  <c r="I121" i="17"/>
  <c r="I120" i="17"/>
  <c r="I115" i="17"/>
  <c r="I114" i="17"/>
  <c r="I113" i="17"/>
  <c r="I112" i="17"/>
  <c r="I111" i="17"/>
  <c r="I110" i="17"/>
  <c r="I108" i="17"/>
  <c r="I107" i="17"/>
  <c r="I106" i="17"/>
  <c r="I105" i="17"/>
  <c r="I101" i="17"/>
  <c r="I100" i="17"/>
  <c r="I99" i="17"/>
  <c r="I98" i="17"/>
  <c r="I97" i="17"/>
  <c r="I147" i="13"/>
  <c r="I147" i="16"/>
  <c r="I93" i="17" s="1"/>
  <c r="I91" i="17"/>
  <c r="I89" i="17"/>
  <c r="I88" i="17"/>
  <c r="I87" i="17"/>
  <c r="I72" i="16"/>
  <c r="I83" i="17" s="1"/>
  <c r="I82" i="17"/>
  <c r="I81" i="17"/>
  <c r="I71" i="16"/>
  <c r="I80" i="17" s="1"/>
  <c r="I70" i="16"/>
  <c r="I79" i="17" s="1"/>
  <c r="I69" i="16"/>
  <c r="I78" i="17" s="1"/>
  <c r="I68" i="16"/>
  <c r="I77" i="17" s="1"/>
  <c r="I62" i="16"/>
  <c r="I72" i="17" s="1"/>
  <c r="I61" i="16"/>
  <c r="I71" i="17" s="1"/>
  <c r="I60" i="16"/>
  <c r="I70" i="17" s="1"/>
  <c r="I59" i="16"/>
  <c r="I69" i="17" s="1"/>
  <c r="I58" i="16"/>
  <c r="I68" i="17" s="1"/>
  <c r="I134" i="16"/>
  <c r="I62" i="17" s="1"/>
  <c r="I60" i="17"/>
  <c r="I59" i="17"/>
  <c r="I57" i="17"/>
  <c r="I56" i="17"/>
  <c r="I55" i="17"/>
  <c r="I52" i="17"/>
  <c r="I51" i="17"/>
  <c r="I50" i="17"/>
  <c r="I49" i="17"/>
  <c r="I48" i="17"/>
  <c r="I47" i="17"/>
  <c r="I46" i="17"/>
  <c r="I42" i="17"/>
  <c r="I41" i="17"/>
  <c r="I40" i="17"/>
  <c r="I39" i="17"/>
  <c r="I38" i="17"/>
  <c r="I37" i="17"/>
  <c r="I15" i="17"/>
  <c r="I14" i="17"/>
  <c r="F110" i="13"/>
  <c r="F110" i="16" s="1"/>
  <c r="I110" i="16" s="1"/>
  <c r="K33" i="18"/>
  <c r="K34" i="18"/>
  <c r="K35" i="18"/>
  <c r="K36" i="18"/>
  <c r="K37" i="18"/>
  <c r="K38" i="18"/>
  <c r="K40" i="18"/>
  <c r="K42" i="18"/>
  <c r="K44" i="18"/>
  <c r="K51" i="18"/>
  <c r="K52" i="18"/>
  <c r="K66" i="18"/>
  <c r="K72" i="18"/>
  <c r="K73" i="18"/>
  <c r="K86" i="18" s="1"/>
  <c r="K74" i="18"/>
  <c r="K75" i="18"/>
  <c r="K76" i="18"/>
  <c r="K78" i="18"/>
  <c r="K79" i="18"/>
  <c r="K80" i="18"/>
  <c r="K81" i="18"/>
  <c r="K82" i="18"/>
  <c r="K83" i="18"/>
  <c r="K84" i="18"/>
  <c r="K102" i="18"/>
  <c r="K104" i="18"/>
  <c r="K106" i="18"/>
  <c r="K110" i="18"/>
  <c r="K112" i="18"/>
  <c r="K115" i="18"/>
  <c r="K117" i="18"/>
  <c r="K119" i="18"/>
  <c r="K129" i="18"/>
  <c r="K131" i="18"/>
  <c r="K132" i="18"/>
  <c r="K133" i="18"/>
  <c r="K134" i="18"/>
  <c r="K24" i="15"/>
  <c r="K25" i="15"/>
  <c r="K47" i="15" s="1"/>
  <c r="K26" i="15"/>
  <c r="K27" i="15"/>
  <c r="K28" i="15"/>
  <c r="K29" i="15"/>
  <c r="K30" i="15"/>
  <c r="K31" i="15"/>
  <c r="K33" i="15"/>
  <c r="K34" i="15"/>
  <c r="K35" i="15"/>
  <c r="K36" i="15"/>
  <c r="K37" i="15"/>
  <c r="K38" i="15"/>
  <c r="K40" i="15"/>
  <c r="K41" i="15"/>
  <c r="K42" i="15"/>
  <c r="K43" i="15"/>
  <c r="K44" i="15"/>
  <c r="K45" i="15"/>
  <c r="K51" i="15"/>
  <c r="K52" i="15"/>
  <c r="K53" i="15"/>
  <c r="K54" i="15"/>
  <c r="K68" i="15" s="1"/>
  <c r="K55" i="15"/>
  <c r="K56" i="15"/>
  <c r="K57" i="15"/>
  <c r="K59" i="15"/>
  <c r="K60" i="15"/>
  <c r="K61" i="15"/>
  <c r="K62" i="15"/>
  <c r="K63" i="15"/>
  <c r="K64" i="15"/>
  <c r="K66" i="15"/>
  <c r="K72" i="15"/>
  <c r="K73" i="15"/>
  <c r="K86" i="15" s="1"/>
  <c r="K74" i="15"/>
  <c r="K75" i="15"/>
  <c r="K76" i="15"/>
  <c r="K78" i="15"/>
  <c r="K79" i="15"/>
  <c r="K80" i="15"/>
  <c r="K81" i="15"/>
  <c r="K82" i="15"/>
  <c r="K83" i="15"/>
  <c r="K84" i="15"/>
  <c r="K90" i="15"/>
  <c r="K98" i="15" s="1"/>
  <c r="K91" i="15"/>
  <c r="K92" i="15"/>
  <c r="K94" i="15"/>
  <c r="K96" i="15"/>
  <c r="K102" i="15"/>
  <c r="K104" i="15"/>
  <c r="K105" i="15"/>
  <c r="K106" i="15"/>
  <c r="K109" i="15"/>
  <c r="K110" i="15"/>
  <c r="K111" i="15"/>
  <c r="K112" i="15"/>
  <c r="K114" i="15"/>
  <c r="K115" i="15"/>
  <c r="K116" i="15"/>
  <c r="K117" i="15"/>
  <c r="K118" i="15"/>
  <c r="K119" i="15"/>
  <c r="K125" i="15"/>
  <c r="K137" i="15" s="1"/>
  <c r="K126" i="15"/>
  <c r="K127" i="15"/>
  <c r="K129" i="15"/>
  <c r="K131" i="15"/>
  <c r="K132" i="15"/>
  <c r="K133" i="15"/>
  <c r="K134" i="15"/>
  <c r="K135" i="15"/>
  <c r="M14" i="18"/>
  <c r="O14" i="18" s="1"/>
  <c r="S14" i="18"/>
  <c r="S19" i="18" s="1"/>
  <c r="M15" i="18"/>
  <c r="O15" i="18"/>
  <c r="P15" i="18" s="1"/>
  <c r="S15" i="18"/>
  <c r="O17" i="18"/>
  <c r="P17" i="18"/>
  <c r="S17" i="18"/>
  <c r="C19" i="18"/>
  <c r="F19" i="18"/>
  <c r="I19" i="18"/>
  <c r="M24" i="18"/>
  <c r="O24" i="18" s="1"/>
  <c r="P24" i="18" s="1"/>
  <c r="M25" i="18"/>
  <c r="O25" i="18" s="1"/>
  <c r="P25" i="18" s="1"/>
  <c r="M26" i="18"/>
  <c r="O26" i="18" s="1"/>
  <c r="P26" i="18" s="1"/>
  <c r="M27" i="18"/>
  <c r="O27" i="18" s="1"/>
  <c r="P27" i="18" s="1"/>
  <c r="M28" i="18"/>
  <c r="O28" i="18" s="1"/>
  <c r="P28" i="18" s="1"/>
  <c r="M29" i="18"/>
  <c r="O29" i="18" s="1"/>
  <c r="P29" i="18" s="1"/>
  <c r="M30" i="18"/>
  <c r="O30" i="18" s="1"/>
  <c r="P30" i="18" s="1"/>
  <c r="M31" i="18"/>
  <c r="O31" i="18" s="1"/>
  <c r="P31" i="18" s="1"/>
  <c r="M33" i="18"/>
  <c r="O33" i="18" s="1"/>
  <c r="P33" i="18" s="1"/>
  <c r="M34" i="18"/>
  <c r="O34" i="18" s="1"/>
  <c r="P34" i="18" s="1"/>
  <c r="M35" i="18"/>
  <c r="O35" i="18" s="1"/>
  <c r="P35" i="18" s="1"/>
  <c r="M36" i="18"/>
  <c r="O36" i="18" s="1"/>
  <c r="P36" i="18" s="1"/>
  <c r="M37" i="18"/>
  <c r="O37" i="18" s="1"/>
  <c r="P37" i="18" s="1"/>
  <c r="M38" i="18"/>
  <c r="O38" i="18" s="1"/>
  <c r="P38" i="18" s="1"/>
  <c r="M40" i="18"/>
  <c r="O40" i="18" s="1"/>
  <c r="P40" i="18" s="1"/>
  <c r="M42" i="18"/>
  <c r="O42" i="18" s="1"/>
  <c r="P42" i="18" s="1"/>
  <c r="M44" i="18"/>
  <c r="O44" i="18" s="1"/>
  <c r="P44" i="18" s="1"/>
  <c r="C47" i="18"/>
  <c r="F47" i="18"/>
  <c r="M51" i="18"/>
  <c r="O51" i="18" s="1"/>
  <c r="M52" i="18"/>
  <c r="O52" i="18" s="1"/>
  <c r="P52" i="18" s="1"/>
  <c r="M53" i="18"/>
  <c r="O53" i="18"/>
  <c r="P53" i="18" s="1"/>
  <c r="M54" i="18"/>
  <c r="O54" i="18" s="1"/>
  <c r="P54" i="18" s="1"/>
  <c r="M55" i="18"/>
  <c r="O55" i="18"/>
  <c r="P55" i="18" s="1"/>
  <c r="M56" i="18"/>
  <c r="O56" i="18" s="1"/>
  <c r="P56" i="18" s="1"/>
  <c r="M57" i="18"/>
  <c r="O57" i="18"/>
  <c r="P57" i="18" s="1"/>
  <c r="M59" i="18"/>
  <c r="O59" i="18" s="1"/>
  <c r="P59" i="18" s="1"/>
  <c r="M60" i="18"/>
  <c r="O60" i="18"/>
  <c r="P60" i="18" s="1"/>
  <c r="M61" i="18"/>
  <c r="O61" i="18" s="1"/>
  <c r="P61" i="18" s="1"/>
  <c r="M62" i="18"/>
  <c r="O62" i="18"/>
  <c r="P62" i="18" s="1"/>
  <c r="M63" i="18"/>
  <c r="O63" i="18" s="1"/>
  <c r="P63" i="18" s="1"/>
  <c r="M64" i="18"/>
  <c r="O64" i="18"/>
  <c r="P64" i="18" s="1"/>
  <c r="M66" i="18"/>
  <c r="O66" i="18" s="1"/>
  <c r="P66" i="18" s="1"/>
  <c r="C68" i="18"/>
  <c r="F68" i="18"/>
  <c r="I68" i="18"/>
  <c r="M72" i="18"/>
  <c r="O72" i="18" s="1"/>
  <c r="P72" i="18" s="1"/>
  <c r="M73" i="18"/>
  <c r="O73" i="18"/>
  <c r="P73" i="18" s="1"/>
  <c r="S73" i="18"/>
  <c r="M74" i="18"/>
  <c r="O74" i="18"/>
  <c r="P74" i="18" s="1"/>
  <c r="S74" i="18"/>
  <c r="M75" i="18"/>
  <c r="O75" i="18"/>
  <c r="P75" i="18" s="1"/>
  <c r="S75" i="18"/>
  <c r="M76" i="18"/>
  <c r="O76" i="18"/>
  <c r="P76" i="18" s="1"/>
  <c r="S76" i="18"/>
  <c r="M78" i="18"/>
  <c r="O78" i="18"/>
  <c r="P78" i="18" s="1"/>
  <c r="S78" i="18"/>
  <c r="M79" i="18"/>
  <c r="O79" i="18"/>
  <c r="P79" i="18" s="1"/>
  <c r="S79" i="18"/>
  <c r="M80" i="18"/>
  <c r="O80" i="18"/>
  <c r="P80" i="18" s="1"/>
  <c r="S80" i="18"/>
  <c r="M81" i="18"/>
  <c r="O81" i="18"/>
  <c r="P81" i="18" s="1"/>
  <c r="S81" i="18"/>
  <c r="M82" i="18"/>
  <c r="O82" i="18"/>
  <c r="P82" i="18" s="1"/>
  <c r="S82" i="18"/>
  <c r="M83" i="18"/>
  <c r="O83" i="18"/>
  <c r="P83" i="18" s="1"/>
  <c r="S83" i="18"/>
  <c r="M84" i="18"/>
  <c r="O84" i="18"/>
  <c r="P84" i="18" s="1"/>
  <c r="S84" i="18"/>
  <c r="C86" i="18"/>
  <c r="F86" i="18"/>
  <c r="I86" i="18"/>
  <c r="M86" i="18"/>
  <c r="M91" i="18"/>
  <c r="O91" i="18"/>
  <c r="P91" i="18" s="1"/>
  <c r="M94" i="18"/>
  <c r="O94" i="18"/>
  <c r="P94" i="18" s="1"/>
  <c r="M96" i="18"/>
  <c r="O96" i="18" s="1"/>
  <c r="P96" i="18" s="1"/>
  <c r="C98" i="18"/>
  <c r="F98" i="18"/>
  <c r="M102" i="18"/>
  <c r="M103" i="18"/>
  <c r="O103" i="18"/>
  <c r="P103" i="18" s="1"/>
  <c r="S103" i="18"/>
  <c r="M104" i="18"/>
  <c r="O104" i="18"/>
  <c r="P104" i="18" s="1"/>
  <c r="S104" i="18"/>
  <c r="M105" i="18"/>
  <c r="O105" i="18"/>
  <c r="P105" i="18" s="1"/>
  <c r="S105" i="18"/>
  <c r="M106" i="18"/>
  <c r="O106" i="18"/>
  <c r="P106" i="18" s="1"/>
  <c r="S106" i="18"/>
  <c r="M107" i="18"/>
  <c r="O107" i="18"/>
  <c r="P107" i="18" s="1"/>
  <c r="S107" i="18"/>
  <c r="M109" i="18"/>
  <c r="O109" i="18"/>
  <c r="P109" i="18" s="1"/>
  <c r="S109" i="18"/>
  <c r="M110" i="18"/>
  <c r="O110" i="18"/>
  <c r="P110" i="18" s="1"/>
  <c r="S110" i="18"/>
  <c r="M111" i="18"/>
  <c r="O111" i="18"/>
  <c r="P111" i="18" s="1"/>
  <c r="S111" i="18"/>
  <c r="M112" i="18"/>
  <c r="O112" i="18"/>
  <c r="P112" i="18" s="1"/>
  <c r="S112" i="18"/>
  <c r="M114" i="18"/>
  <c r="O114" i="18"/>
  <c r="P114" i="18" s="1"/>
  <c r="S114" i="18"/>
  <c r="M115" i="18"/>
  <c r="O115" i="18"/>
  <c r="P115" i="18" s="1"/>
  <c r="S115" i="18"/>
  <c r="M116" i="18"/>
  <c r="O116" i="18"/>
  <c r="P116" i="18" s="1"/>
  <c r="S116" i="18"/>
  <c r="M117" i="18"/>
  <c r="O117" i="18"/>
  <c r="P117" i="18" s="1"/>
  <c r="S117" i="18"/>
  <c r="M118" i="18"/>
  <c r="O118" i="18"/>
  <c r="P118" i="18" s="1"/>
  <c r="S118" i="18"/>
  <c r="M119" i="18"/>
  <c r="O119" i="18"/>
  <c r="P119" i="18" s="1"/>
  <c r="S119" i="18"/>
  <c r="C121" i="18"/>
  <c r="F121" i="18"/>
  <c r="I121" i="18"/>
  <c r="M121" i="18"/>
  <c r="M125" i="18"/>
  <c r="O125" i="18"/>
  <c r="M127" i="18"/>
  <c r="O127" i="18" s="1"/>
  <c r="P127" i="18" s="1"/>
  <c r="M129" i="18"/>
  <c r="O129" i="18"/>
  <c r="P129" i="18" s="1"/>
  <c r="M131" i="18"/>
  <c r="O131" i="18" s="1"/>
  <c r="P131" i="18" s="1"/>
  <c r="M132" i="18"/>
  <c r="O132" i="18"/>
  <c r="P132" i="18" s="1"/>
  <c r="M133" i="18"/>
  <c r="O133" i="18" s="1"/>
  <c r="P133" i="18" s="1"/>
  <c r="M134" i="18"/>
  <c r="O134" i="18"/>
  <c r="P134" i="18" s="1"/>
  <c r="M135" i="18"/>
  <c r="O135" i="18" s="1"/>
  <c r="P135" i="18" s="1"/>
  <c r="C137" i="18"/>
  <c r="C139" i="18"/>
  <c r="F137" i="18"/>
  <c r="K18" i="17"/>
  <c r="K43" i="17"/>
  <c r="K53" i="17"/>
  <c r="K63" i="17"/>
  <c r="K73" i="17"/>
  <c r="K84" i="17"/>
  <c r="K94" i="17"/>
  <c r="K116" i="17"/>
  <c r="I166" i="13"/>
  <c r="K131" i="17"/>
  <c r="K133" i="17"/>
  <c r="I141" i="13"/>
  <c r="I141" i="16"/>
  <c r="H141" i="13"/>
  <c r="H141" i="16"/>
  <c r="G141" i="13"/>
  <c r="G141" i="16"/>
  <c r="I140" i="13"/>
  <c r="I140" i="16"/>
  <c r="H140" i="13"/>
  <c r="H140" i="16"/>
  <c r="G140" i="13"/>
  <c r="G140" i="16"/>
  <c r="H128" i="13"/>
  <c r="H128" i="16"/>
  <c r="G128" i="13"/>
  <c r="G128" i="16"/>
  <c r="I128" i="16" s="1"/>
  <c r="H127" i="13"/>
  <c r="H127" i="16" s="1"/>
  <c r="G127" i="13"/>
  <c r="G127" i="16" s="1"/>
  <c r="I127" i="16" s="1"/>
  <c r="H126" i="13"/>
  <c r="H126" i="16" s="1"/>
  <c r="G126" i="13"/>
  <c r="G126" i="16" s="1"/>
  <c r="I126" i="16" s="1"/>
  <c r="H125" i="13"/>
  <c r="H125" i="16"/>
  <c r="G125" i="13"/>
  <c r="G125" i="16"/>
  <c r="H124" i="13"/>
  <c r="H124" i="16"/>
  <c r="G124" i="13"/>
  <c r="G124" i="16"/>
  <c r="I124" i="16" s="1"/>
  <c r="H123" i="13"/>
  <c r="H123" i="16" s="1"/>
  <c r="G123" i="13"/>
  <c r="G123" i="16" s="1"/>
  <c r="F113" i="13"/>
  <c r="F113" i="16" s="1"/>
  <c r="G110" i="13"/>
  <c r="G110" i="16" s="1"/>
  <c r="G109" i="13"/>
  <c r="G109" i="16" s="1"/>
  <c r="G72" i="16"/>
  <c r="G71" i="16"/>
  <c r="G70" i="16"/>
  <c r="G69" i="16"/>
  <c r="G68" i="16"/>
  <c r="G62" i="16"/>
  <c r="G61" i="16"/>
  <c r="G60" i="16"/>
  <c r="G59" i="16"/>
  <c r="G58" i="16"/>
  <c r="F30" i="16"/>
  <c r="H30" i="16" s="1"/>
  <c r="H21" i="16"/>
  <c r="H23" i="16"/>
  <c r="H26" i="16"/>
  <c r="H28" i="16"/>
  <c r="H32" i="16"/>
  <c r="H58" i="16"/>
  <c r="H59" i="16"/>
  <c r="H60" i="16"/>
  <c r="H61" i="16"/>
  <c r="H62" i="16"/>
  <c r="H68" i="16"/>
  <c r="H69" i="16"/>
  <c r="H70" i="16"/>
  <c r="H71" i="16"/>
  <c r="H72" i="16"/>
  <c r="I125" i="16"/>
  <c r="I155" i="16"/>
  <c r="I156" i="16"/>
  <c r="I157" i="16"/>
  <c r="I158" i="16"/>
  <c r="I159" i="16"/>
  <c r="I160" i="16"/>
  <c r="I168" i="16"/>
  <c r="I169" i="16"/>
  <c r="I170" i="16"/>
  <c r="I171" i="16"/>
  <c r="I172" i="16"/>
  <c r="C174" i="16"/>
  <c r="S125" i="15"/>
  <c r="S126" i="15"/>
  <c r="S127" i="15"/>
  <c r="S129" i="15"/>
  <c r="S131" i="15"/>
  <c r="S132" i="15"/>
  <c r="S133" i="15"/>
  <c r="S134" i="15"/>
  <c r="S135" i="15"/>
  <c r="S42" i="15"/>
  <c r="S24" i="15"/>
  <c r="S25" i="15"/>
  <c r="S26" i="15"/>
  <c r="S27" i="15"/>
  <c r="S28" i="15"/>
  <c r="S29" i="15"/>
  <c r="S30" i="15"/>
  <c r="S31" i="15"/>
  <c r="S33" i="15"/>
  <c r="S34" i="15"/>
  <c r="S35" i="15"/>
  <c r="S36" i="15"/>
  <c r="S37" i="15"/>
  <c r="S38" i="15"/>
  <c r="S40" i="15"/>
  <c r="S41" i="15"/>
  <c r="S43" i="15"/>
  <c r="S44" i="15"/>
  <c r="S45" i="15"/>
  <c r="S14" i="15"/>
  <c r="S15" i="15"/>
  <c r="S51" i="15"/>
  <c r="S52" i="15"/>
  <c r="S53" i="15"/>
  <c r="S54" i="15"/>
  <c r="S68" i="15" s="1"/>
  <c r="S55" i="15"/>
  <c r="S56" i="15"/>
  <c r="S57" i="15"/>
  <c r="S59" i="15"/>
  <c r="S60" i="15"/>
  <c r="S61" i="15"/>
  <c r="S62" i="15"/>
  <c r="S63" i="15"/>
  <c r="S64" i="15"/>
  <c r="S66" i="15"/>
  <c r="S72" i="15"/>
  <c r="S73" i="15"/>
  <c r="S74" i="15"/>
  <c r="S75" i="15"/>
  <c r="S76" i="15"/>
  <c r="S78" i="15"/>
  <c r="S79" i="15"/>
  <c r="S80" i="15"/>
  <c r="S81" i="15"/>
  <c r="S82" i="15"/>
  <c r="S83" i="15"/>
  <c r="S84" i="15"/>
  <c r="S90" i="15"/>
  <c r="S98" i="15" s="1"/>
  <c r="S91" i="15"/>
  <c r="S92" i="15"/>
  <c r="S94" i="15"/>
  <c r="S96" i="15"/>
  <c r="S102" i="15"/>
  <c r="S104" i="15"/>
  <c r="S105" i="15"/>
  <c r="S106" i="15"/>
  <c r="S109" i="15"/>
  <c r="S110" i="15"/>
  <c r="S111" i="15"/>
  <c r="S112" i="15"/>
  <c r="S114" i="15"/>
  <c r="S115" i="15"/>
  <c r="S116" i="15"/>
  <c r="S117" i="15"/>
  <c r="S118" i="15"/>
  <c r="S119" i="15"/>
  <c r="S17" i="15"/>
  <c r="C51" i="12"/>
  <c r="F51" i="12"/>
  <c r="I51" i="12" s="1"/>
  <c r="B51" i="12"/>
  <c r="D51" i="12" s="1"/>
  <c r="C52" i="12"/>
  <c r="F52" i="12" s="1"/>
  <c r="B52" i="12"/>
  <c r="D52" i="12"/>
  <c r="C53" i="12"/>
  <c r="F53" i="12"/>
  <c r="I53" i="12" s="1"/>
  <c r="M53" i="12" s="1"/>
  <c r="B53" i="12"/>
  <c r="D53" i="12" s="1"/>
  <c r="C54" i="12"/>
  <c r="F54" i="12" s="1"/>
  <c r="I54" i="12" s="1"/>
  <c r="M54" i="12" s="1"/>
  <c r="B54" i="12"/>
  <c r="D54" i="12"/>
  <c r="C55" i="12"/>
  <c r="F55" i="12"/>
  <c r="I55" i="12" s="1"/>
  <c r="B55" i="12"/>
  <c r="D55" i="12" s="1"/>
  <c r="C56" i="12"/>
  <c r="F56" i="12" s="1"/>
  <c r="B56" i="12"/>
  <c r="D56" i="12"/>
  <c r="C57" i="12"/>
  <c r="F57" i="12"/>
  <c r="I57" i="12" s="1"/>
  <c r="M57" i="12" s="1"/>
  <c r="B57" i="12"/>
  <c r="D57" i="12" s="1"/>
  <c r="C59" i="12"/>
  <c r="F59" i="12" s="1"/>
  <c r="I59" i="12" s="1"/>
  <c r="M59" i="12" s="1"/>
  <c r="B59" i="12"/>
  <c r="D59" i="12"/>
  <c r="C60" i="12"/>
  <c r="F60" i="12"/>
  <c r="I60" i="12" s="1"/>
  <c r="B60" i="12"/>
  <c r="D60" i="12" s="1"/>
  <c r="C61" i="12"/>
  <c r="F61" i="12" s="1"/>
  <c r="B61" i="12"/>
  <c r="D61" i="12"/>
  <c r="C62" i="12"/>
  <c r="F62" i="12"/>
  <c r="I62" i="12" s="1"/>
  <c r="M62" i="12" s="1"/>
  <c r="B62" i="12"/>
  <c r="D62" i="12" s="1"/>
  <c r="C63" i="12"/>
  <c r="F63" i="12" s="1"/>
  <c r="I63" i="12" s="1"/>
  <c r="M63" i="12" s="1"/>
  <c r="B63" i="12"/>
  <c r="D63" i="12"/>
  <c r="C64" i="12"/>
  <c r="F64" i="12"/>
  <c r="I64" i="12" s="1"/>
  <c r="B64" i="12"/>
  <c r="D64" i="12" s="1"/>
  <c r="C66" i="12"/>
  <c r="F66" i="12" s="1"/>
  <c r="B66" i="12"/>
  <c r="D66" i="12"/>
  <c r="C78" i="12"/>
  <c r="F78" i="12"/>
  <c r="I78" i="12" s="1"/>
  <c r="B78" i="12"/>
  <c r="D78" i="12" s="1"/>
  <c r="F79" i="12"/>
  <c r="I79" i="12" s="1"/>
  <c r="B79" i="12"/>
  <c r="D79" i="12" s="1"/>
  <c r="C80" i="12"/>
  <c r="F80" i="12" s="1"/>
  <c r="B80" i="12"/>
  <c r="D80" i="12" s="1"/>
  <c r="C81" i="12"/>
  <c r="F81" i="12"/>
  <c r="I81" i="12" s="1"/>
  <c r="B81" i="12"/>
  <c r="D81" i="12" s="1"/>
  <c r="C82" i="12"/>
  <c r="F82" i="12" s="1"/>
  <c r="B82" i="12"/>
  <c r="D82" i="12" s="1"/>
  <c r="C83" i="12"/>
  <c r="F83" i="12"/>
  <c r="I83" i="12" s="1"/>
  <c r="B83" i="12"/>
  <c r="D83" i="12" s="1"/>
  <c r="C84" i="12"/>
  <c r="F84" i="12" s="1"/>
  <c r="B84" i="12"/>
  <c r="D84" i="12" s="1"/>
  <c r="C72" i="12"/>
  <c r="F72" i="12"/>
  <c r="I72" i="12" s="1"/>
  <c r="B72" i="12"/>
  <c r="D72" i="12" s="1"/>
  <c r="C73" i="12"/>
  <c r="F73" i="12" s="1"/>
  <c r="B73" i="12"/>
  <c r="D73" i="12" s="1"/>
  <c r="C74" i="12"/>
  <c r="F74" i="12"/>
  <c r="I74" i="12" s="1"/>
  <c r="B74" i="12"/>
  <c r="D74" i="12" s="1"/>
  <c r="C75" i="12"/>
  <c r="F75" i="12" s="1"/>
  <c r="B75" i="12"/>
  <c r="D75" i="12" s="1"/>
  <c r="C76" i="12"/>
  <c r="F76" i="12"/>
  <c r="I76" i="12" s="1"/>
  <c r="B76" i="12"/>
  <c r="D76" i="12" s="1"/>
  <c r="C91" i="12"/>
  <c r="F91" i="12" s="1"/>
  <c r="B91" i="12"/>
  <c r="D91" i="12"/>
  <c r="C90" i="12"/>
  <c r="F90" i="12"/>
  <c r="I90" i="12" s="1"/>
  <c r="B90" i="12"/>
  <c r="D90" i="12"/>
  <c r="C92" i="12"/>
  <c r="F92" i="12" s="1"/>
  <c r="I92" i="12" s="1"/>
  <c r="B92" i="12"/>
  <c r="D92" i="12"/>
  <c r="C94" i="12"/>
  <c r="F94" i="12"/>
  <c r="I94" i="12" s="1"/>
  <c r="B94" i="12"/>
  <c r="D94" i="12"/>
  <c r="C96" i="12"/>
  <c r="F96" i="12"/>
  <c r="I96" i="12" s="1"/>
  <c r="M96" i="12" s="1"/>
  <c r="B96" i="12"/>
  <c r="D96" i="12" s="1"/>
  <c r="C105" i="12"/>
  <c r="F105" i="12" s="1"/>
  <c r="I105" i="12" s="1"/>
  <c r="M105" i="12" s="1"/>
  <c r="B105" i="12"/>
  <c r="D105" i="12"/>
  <c r="C106" i="12"/>
  <c r="F106" i="12"/>
  <c r="I106" i="12" s="1"/>
  <c r="M106" i="12" s="1"/>
  <c r="B106" i="12"/>
  <c r="D106" i="12"/>
  <c r="C102" i="12"/>
  <c r="F102" i="12" s="1"/>
  <c r="B102" i="12"/>
  <c r="D102" i="12"/>
  <c r="C103" i="12"/>
  <c r="F103" i="12"/>
  <c r="I103" i="12" s="1"/>
  <c r="B103" i="12"/>
  <c r="D103" i="12"/>
  <c r="C104" i="12"/>
  <c r="F104" i="12"/>
  <c r="I104" i="12" s="1"/>
  <c r="M104" i="12" s="1"/>
  <c r="B104" i="12"/>
  <c r="D104" i="12" s="1"/>
  <c r="C107" i="12"/>
  <c r="F107" i="12" s="1"/>
  <c r="I107" i="12" s="1"/>
  <c r="B107" i="12"/>
  <c r="D107" i="12" s="1"/>
  <c r="C109" i="12"/>
  <c r="F109" i="12" s="1"/>
  <c r="I109" i="12" s="1"/>
  <c r="M109" i="12" s="1"/>
  <c r="B109" i="12"/>
  <c r="D109" i="12"/>
  <c r="C110" i="12"/>
  <c r="F110" i="12"/>
  <c r="I110" i="12" s="1"/>
  <c r="M110" i="12" s="1"/>
  <c r="B110" i="12"/>
  <c r="D110" i="12"/>
  <c r="C111" i="12"/>
  <c r="F111" i="12" s="1"/>
  <c r="I111" i="12" s="1"/>
  <c r="M111" i="12" s="1"/>
  <c r="B111" i="12"/>
  <c r="D111" i="12"/>
  <c r="C112" i="12"/>
  <c r="F112" i="12"/>
  <c r="I112" i="12" s="1"/>
  <c r="M112" i="12" s="1"/>
  <c r="B112" i="12"/>
  <c r="D112" i="12"/>
  <c r="C114" i="12"/>
  <c r="F114" i="12" s="1"/>
  <c r="I114" i="12" s="1"/>
  <c r="M114" i="12" s="1"/>
  <c r="B114" i="12"/>
  <c r="D114" i="12"/>
  <c r="C115" i="12"/>
  <c r="F115" i="12"/>
  <c r="I115" i="12" s="1"/>
  <c r="M115" i="12" s="1"/>
  <c r="B115" i="12"/>
  <c r="D115" i="12"/>
  <c r="C116" i="12"/>
  <c r="F116" i="12" s="1"/>
  <c r="I116" i="12" s="1"/>
  <c r="M116" i="12" s="1"/>
  <c r="B116" i="12"/>
  <c r="D116" i="12"/>
  <c r="C117" i="12"/>
  <c r="F117" i="12"/>
  <c r="I117" i="12" s="1"/>
  <c r="M117" i="12" s="1"/>
  <c r="B117" i="12"/>
  <c r="D117" i="12"/>
  <c r="C118" i="12"/>
  <c r="F118" i="12" s="1"/>
  <c r="I118" i="12" s="1"/>
  <c r="M118" i="12" s="1"/>
  <c r="B118" i="12"/>
  <c r="D118" i="12"/>
  <c r="C119" i="12"/>
  <c r="F119" i="12"/>
  <c r="I119" i="12" s="1"/>
  <c r="M119" i="12" s="1"/>
  <c r="B119" i="12"/>
  <c r="D119" i="12"/>
  <c r="C125" i="12"/>
  <c r="F125" i="12" s="1"/>
  <c r="B125" i="12"/>
  <c r="C126" i="12"/>
  <c r="F126" i="12" s="1"/>
  <c r="I126" i="12" s="1"/>
  <c r="M126" i="12" s="1"/>
  <c r="B126" i="12"/>
  <c r="D126" i="12" s="1"/>
  <c r="C127" i="12"/>
  <c r="F127" i="12" s="1"/>
  <c r="I127" i="12" s="1"/>
  <c r="M127" i="12" s="1"/>
  <c r="B127" i="12"/>
  <c r="D127" i="12"/>
  <c r="F129" i="12"/>
  <c r="I129" i="12" s="1"/>
  <c r="B129" i="12"/>
  <c r="D129" i="12"/>
  <c r="C131" i="12"/>
  <c r="F131" i="12" s="1"/>
  <c r="B131" i="12"/>
  <c r="D131" i="12" s="1"/>
  <c r="C132" i="12"/>
  <c r="F132" i="12"/>
  <c r="I132" i="12" s="1"/>
  <c r="M132" i="12" s="1"/>
  <c r="B132" i="12"/>
  <c r="D132" i="12" s="1"/>
  <c r="C133" i="12"/>
  <c r="F133" i="12" s="1"/>
  <c r="I133" i="12" s="1"/>
  <c r="B133" i="12"/>
  <c r="D133" i="12"/>
  <c r="C134" i="12"/>
  <c r="F134" i="12"/>
  <c r="I134" i="12" s="1"/>
  <c r="B134" i="12"/>
  <c r="C135" i="12"/>
  <c r="F135" i="12" s="1"/>
  <c r="I135" i="12" s="1"/>
  <c r="B135" i="12"/>
  <c r="D135" i="12"/>
  <c r="C14" i="12"/>
  <c r="F14" i="12"/>
  <c r="I14" i="12" s="1"/>
  <c r="S15" i="12"/>
  <c r="T15" i="12" s="1"/>
  <c r="S17" i="12"/>
  <c r="T17" i="12" s="1"/>
  <c r="C17" i="12"/>
  <c r="C24" i="12"/>
  <c r="F24" i="12"/>
  <c r="C25" i="12"/>
  <c r="F25" i="12"/>
  <c r="I25" i="12" s="1"/>
  <c r="C26" i="12"/>
  <c r="F26" i="12" s="1"/>
  <c r="C27" i="12"/>
  <c r="F27" i="12" s="1"/>
  <c r="I27" i="12" s="1"/>
  <c r="C28" i="12"/>
  <c r="F28" i="12"/>
  <c r="C29" i="12"/>
  <c r="F29" i="12"/>
  <c r="I29" i="12" s="1"/>
  <c r="C30" i="12"/>
  <c r="F30" i="12" s="1"/>
  <c r="C31" i="12"/>
  <c r="F31" i="12" s="1"/>
  <c r="I31" i="12" s="1"/>
  <c r="C33" i="12"/>
  <c r="F33" i="12"/>
  <c r="C34" i="12"/>
  <c r="F34" i="12"/>
  <c r="I34" i="12" s="1"/>
  <c r="C35" i="12"/>
  <c r="F35" i="12" s="1"/>
  <c r="C36" i="12"/>
  <c r="F36" i="12" s="1"/>
  <c r="C37" i="12"/>
  <c r="F37" i="12"/>
  <c r="C38" i="12"/>
  <c r="F38" i="12"/>
  <c r="I38" i="12" s="1"/>
  <c r="C40" i="12"/>
  <c r="F40" i="12" s="1"/>
  <c r="C41" i="12"/>
  <c r="F41" i="12" s="1"/>
  <c r="C42" i="12"/>
  <c r="F42" i="12"/>
  <c r="C43" i="12"/>
  <c r="F43" i="12"/>
  <c r="I43" i="12" s="1"/>
  <c r="C44" i="12"/>
  <c r="F44" i="12" s="1"/>
  <c r="C45" i="12"/>
  <c r="F45" i="12" s="1"/>
  <c r="O17" i="12"/>
  <c r="P17" i="12" s="1"/>
  <c r="B45" i="12"/>
  <c r="D45" i="12" s="1"/>
  <c r="B44" i="12"/>
  <c r="D44" i="12" s="1"/>
  <c r="B43" i="12"/>
  <c r="D43" i="12" s="1"/>
  <c r="B42" i="12"/>
  <c r="D42" i="12" s="1"/>
  <c r="B41" i="12"/>
  <c r="D41" i="12" s="1"/>
  <c r="B40" i="12"/>
  <c r="D40" i="12" s="1"/>
  <c r="B38" i="12"/>
  <c r="D38" i="12" s="1"/>
  <c r="B37" i="12"/>
  <c r="D37" i="12" s="1"/>
  <c r="B36" i="12"/>
  <c r="D36" i="12" s="1"/>
  <c r="B35" i="12"/>
  <c r="D35" i="12" s="1"/>
  <c r="B34" i="12"/>
  <c r="D34" i="12" s="1"/>
  <c r="B33" i="12"/>
  <c r="D33" i="12" s="1"/>
  <c r="B31" i="12"/>
  <c r="D31" i="12" s="1"/>
  <c r="B30" i="12"/>
  <c r="D30" i="12" s="1"/>
  <c r="B29" i="12"/>
  <c r="D29" i="12" s="1"/>
  <c r="B28" i="12"/>
  <c r="D28" i="12" s="1"/>
  <c r="B27" i="12"/>
  <c r="D27" i="12" s="1"/>
  <c r="B26" i="12"/>
  <c r="D26" i="12" s="1"/>
  <c r="B25" i="12"/>
  <c r="D25" i="12" s="1"/>
  <c r="B24" i="12"/>
  <c r="D24" i="12" s="1"/>
  <c r="D47" i="12" s="1"/>
  <c r="I119" i="11"/>
  <c r="F119" i="11"/>
  <c r="F119" i="13"/>
  <c r="G15" i="11"/>
  <c r="G15" i="13"/>
  <c r="G14" i="11"/>
  <c r="G14" i="13"/>
  <c r="F15" i="11"/>
  <c r="F15" i="13"/>
  <c r="F14" i="11"/>
  <c r="F14" i="13"/>
  <c r="O47" i="15"/>
  <c r="O68" i="15"/>
  <c r="O98" i="15"/>
  <c r="O137" i="15"/>
  <c r="O86" i="15"/>
  <c r="M19" i="15"/>
  <c r="M47" i="15"/>
  <c r="M68" i="15"/>
  <c r="M98" i="15"/>
  <c r="M137" i="15"/>
  <c r="M86" i="15"/>
  <c r="O17" i="15"/>
  <c r="O19" i="15" s="1"/>
  <c r="I172" i="13"/>
  <c r="I171" i="13"/>
  <c r="I170" i="13"/>
  <c r="I169" i="13"/>
  <c r="I168" i="13"/>
  <c r="I160" i="13"/>
  <c r="I159" i="13"/>
  <c r="I158" i="13"/>
  <c r="I157" i="13"/>
  <c r="I156" i="13"/>
  <c r="I155" i="13"/>
  <c r="I128" i="13"/>
  <c r="I127" i="13"/>
  <c r="I126" i="13"/>
  <c r="I125" i="13"/>
  <c r="I124" i="13"/>
  <c r="I123" i="13"/>
  <c r="E135" i="12"/>
  <c r="G135" i="12" s="1"/>
  <c r="H135" i="12"/>
  <c r="E134" i="12"/>
  <c r="G134" i="12"/>
  <c r="H134" i="12"/>
  <c r="E125" i="12"/>
  <c r="H125" i="12"/>
  <c r="E126" i="12"/>
  <c r="G126" i="12" s="1"/>
  <c r="H126" i="12"/>
  <c r="J126" i="12" s="1"/>
  <c r="E127" i="12"/>
  <c r="G127" i="12" s="1"/>
  <c r="H127" i="12"/>
  <c r="J127" i="12" s="1"/>
  <c r="E129" i="12"/>
  <c r="G129" i="12" s="1"/>
  <c r="H129" i="12"/>
  <c r="E131" i="12"/>
  <c r="H131" i="12"/>
  <c r="E132" i="12"/>
  <c r="G132" i="12"/>
  <c r="H132" i="12"/>
  <c r="J132" i="12" s="1"/>
  <c r="E133" i="12"/>
  <c r="G133" i="12" s="1"/>
  <c r="H133" i="12"/>
  <c r="H14" i="12"/>
  <c r="E14" i="12"/>
  <c r="G14" i="12" s="1"/>
  <c r="H15" i="12"/>
  <c r="J15" i="12" s="1"/>
  <c r="E15" i="12"/>
  <c r="G15" i="12" s="1"/>
  <c r="E17" i="12"/>
  <c r="F17" i="12"/>
  <c r="G17" i="12"/>
  <c r="H17" i="12"/>
  <c r="E27" i="12"/>
  <c r="G27" i="12" s="1"/>
  <c r="E28" i="12"/>
  <c r="E36" i="12"/>
  <c r="E24" i="12"/>
  <c r="E25" i="12"/>
  <c r="G25" i="12" s="1"/>
  <c r="E26" i="12"/>
  <c r="E29" i="12"/>
  <c r="G29" i="12"/>
  <c r="E30" i="12"/>
  <c r="E31" i="12"/>
  <c r="G31" i="12" s="1"/>
  <c r="E33" i="12"/>
  <c r="E34" i="12"/>
  <c r="G34" i="12"/>
  <c r="E35" i="12"/>
  <c r="E37" i="12"/>
  <c r="E38" i="12"/>
  <c r="G38" i="12"/>
  <c r="G43" i="12"/>
  <c r="E107" i="12"/>
  <c r="G107" i="12" s="1"/>
  <c r="E102" i="12"/>
  <c r="G102" i="12" s="1"/>
  <c r="H102" i="12"/>
  <c r="E103" i="12"/>
  <c r="G103" i="12"/>
  <c r="H103" i="12"/>
  <c r="E104" i="12"/>
  <c r="G104" i="12"/>
  <c r="H104" i="12"/>
  <c r="J104" i="12" s="1"/>
  <c r="E105" i="12"/>
  <c r="G105" i="12" s="1"/>
  <c r="K105" i="12" s="1"/>
  <c r="H105" i="12"/>
  <c r="J105" i="12" s="1"/>
  <c r="E106" i="12"/>
  <c r="G106" i="12" s="1"/>
  <c r="H106" i="12"/>
  <c r="J106" i="12" s="1"/>
  <c r="E109" i="12"/>
  <c r="G109" i="12" s="1"/>
  <c r="K109" i="12" s="1"/>
  <c r="H109" i="12"/>
  <c r="J109" i="12" s="1"/>
  <c r="E110" i="12"/>
  <c r="G110" i="12" s="1"/>
  <c r="H110" i="12"/>
  <c r="J110" i="12" s="1"/>
  <c r="E111" i="12"/>
  <c r="G111" i="12" s="1"/>
  <c r="K111" i="12" s="1"/>
  <c r="H111" i="12"/>
  <c r="J111" i="12" s="1"/>
  <c r="E112" i="12"/>
  <c r="G112" i="12" s="1"/>
  <c r="H112" i="12"/>
  <c r="J112" i="12" s="1"/>
  <c r="E114" i="12"/>
  <c r="G114" i="12" s="1"/>
  <c r="K114" i="12" s="1"/>
  <c r="H114" i="12"/>
  <c r="J114" i="12" s="1"/>
  <c r="E115" i="12"/>
  <c r="G115" i="12" s="1"/>
  <c r="H115" i="12"/>
  <c r="J115" i="12" s="1"/>
  <c r="E116" i="12"/>
  <c r="G116" i="12" s="1"/>
  <c r="K116" i="12" s="1"/>
  <c r="H116" i="12"/>
  <c r="J116" i="12" s="1"/>
  <c r="E117" i="12"/>
  <c r="G117" i="12" s="1"/>
  <c r="H117" i="12"/>
  <c r="J117" i="12" s="1"/>
  <c r="E118" i="12"/>
  <c r="G118" i="12" s="1"/>
  <c r="K118" i="12" s="1"/>
  <c r="H118" i="12"/>
  <c r="J118" i="12" s="1"/>
  <c r="E119" i="12"/>
  <c r="G119" i="12" s="1"/>
  <c r="H119" i="12"/>
  <c r="J119" i="12" s="1"/>
  <c r="E51" i="12"/>
  <c r="G51" i="12" s="1"/>
  <c r="H51" i="12"/>
  <c r="E52" i="12"/>
  <c r="H52" i="12"/>
  <c r="E53" i="12"/>
  <c r="G53" i="12"/>
  <c r="H53" i="12"/>
  <c r="J53" i="12" s="1"/>
  <c r="E54" i="12"/>
  <c r="G54" i="12" s="1"/>
  <c r="H54" i="12"/>
  <c r="J54" i="12" s="1"/>
  <c r="E55" i="12"/>
  <c r="G55" i="12" s="1"/>
  <c r="H55" i="12"/>
  <c r="E56" i="12"/>
  <c r="H56" i="12"/>
  <c r="E57" i="12"/>
  <c r="G57" i="12"/>
  <c r="H57" i="12"/>
  <c r="J57" i="12" s="1"/>
  <c r="E59" i="12"/>
  <c r="G59" i="12" s="1"/>
  <c r="K59" i="12" s="1"/>
  <c r="H59" i="12"/>
  <c r="J59" i="12" s="1"/>
  <c r="E60" i="12"/>
  <c r="G60" i="12" s="1"/>
  <c r="H60" i="12"/>
  <c r="E61" i="12"/>
  <c r="H61" i="12"/>
  <c r="E62" i="12"/>
  <c r="G62" i="12"/>
  <c r="H62" i="12"/>
  <c r="J62" i="12" s="1"/>
  <c r="E63" i="12"/>
  <c r="G63" i="12" s="1"/>
  <c r="H63" i="12"/>
  <c r="J63" i="12" s="1"/>
  <c r="E64" i="12"/>
  <c r="G64" i="12" s="1"/>
  <c r="H64" i="12"/>
  <c r="E66" i="12"/>
  <c r="H66" i="12"/>
  <c r="G72" i="12"/>
  <c r="G74" i="12"/>
  <c r="G76" i="12"/>
  <c r="G78" i="12"/>
  <c r="G79" i="12"/>
  <c r="G81" i="12"/>
  <c r="G83" i="12"/>
  <c r="E90" i="12"/>
  <c r="G90" i="12" s="1"/>
  <c r="H90" i="12"/>
  <c r="J90" i="12" s="1"/>
  <c r="E91" i="12"/>
  <c r="G91" i="12" s="1"/>
  <c r="H91" i="12"/>
  <c r="E92" i="12"/>
  <c r="G92" i="12" s="1"/>
  <c r="H92" i="12"/>
  <c r="E94" i="12"/>
  <c r="G94" i="12"/>
  <c r="H94" i="12"/>
  <c r="E96" i="12"/>
  <c r="G96" i="12"/>
  <c r="H96" i="12"/>
  <c r="J96" i="12" s="1"/>
  <c r="C19" i="15"/>
  <c r="F19" i="15"/>
  <c r="I19" i="15"/>
  <c r="C47" i="15"/>
  <c r="F47" i="15"/>
  <c r="I47" i="15"/>
  <c r="C68" i="15"/>
  <c r="F68" i="15"/>
  <c r="I68" i="15"/>
  <c r="C86" i="15"/>
  <c r="F86" i="15"/>
  <c r="I86" i="15"/>
  <c r="C98" i="15"/>
  <c r="F98" i="15"/>
  <c r="I98" i="15"/>
  <c r="C137" i="15"/>
  <c r="F137" i="15"/>
  <c r="I137" i="15"/>
  <c r="I14" i="14"/>
  <c r="I15" i="14"/>
  <c r="I21" i="14"/>
  <c r="I22" i="14"/>
  <c r="I23" i="14"/>
  <c r="I24" i="14"/>
  <c r="I25" i="14"/>
  <c r="I26" i="14"/>
  <c r="I27" i="14"/>
  <c r="I28" i="14"/>
  <c r="I37" i="14"/>
  <c r="I38" i="14"/>
  <c r="I39" i="14"/>
  <c r="I40" i="14"/>
  <c r="I41" i="14"/>
  <c r="I42" i="14"/>
  <c r="I46" i="14"/>
  <c r="I47" i="14"/>
  <c r="I48" i="14"/>
  <c r="I68" i="14"/>
  <c r="I69" i="14"/>
  <c r="I70" i="14"/>
  <c r="I71" i="14"/>
  <c r="I72" i="14"/>
  <c r="I77" i="14"/>
  <c r="I78" i="14"/>
  <c r="I79" i="14"/>
  <c r="I80" i="14"/>
  <c r="I81" i="14"/>
  <c r="I82" i="14"/>
  <c r="I83" i="14"/>
  <c r="I87" i="14"/>
  <c r="I88" i="14"/>
  <c r="I89" i="14"/>
  <c r="I91" i="14"/>
  <c r="I93" i="14"/>
  <c r="I97" i="14"/>
  <c r="I98" i="14"/>
  <c r="I99" i="14"/>
  <c r="I100" i="14"/>
  <c r="I101" i="14"/>
  <c r="I105" i="14"/>
  <c r="I106" i="14"/>
  <c r="I107" i="14"/>
  <c r="I108" i="14"/>
  <c r="I110" i="14"/>
  <c r="I111" i="14"/>
  <c r="I112" i="14"/>
  <c r="I113" i="14"/>
  <c r="I114" i="14"/>
  <c r="I115" i="14"/>
  <c r="I120" i="14"/>
  <c r="I121" i="14"/>
  <c r="I122" i="14"/>
  <c r="I124" i="14"/>
  <c r="I126" i="14"/>
  <c r="I127" i="14"/>
  <c r="I128" i="14"/>
  <c r="I129" i="14"/>
  <c r="I130" i="14"/>
  <c r="F33" i="1"/>
  <c r="F32" i="1"/>
  <c r="F31" i="1"/>
  <c r="H153" i="11"/>
  <c r="H153" i="13"/>
  <c r="F53" i="1"/>
  <c r="F54" i="1"/>
  <c r="F51" i="1"/>
  <c r="F52" i="1"/>
  <c r="F55" i="1"/>
  <c r="F58" i="1" s="1"/>
  <c r="F56" i="1"/>
  <c r="F57" i="1"/>
  <c r="E58" i="1"/>
  <c r="B62" i="3"/>
  <c r="B61" i="3"/>
  <c r="B60" i="3"/>
  <c r="B59" i="3"/>
  <c r="B58" i="3"/>
  <c r="B64" i="3" s="1"/>
  <c r="C29" i="3"/>
  <c r="C28" i="3"/>
  <c r="C27" i="3"/>
  <c r="C26" i="3"/>
  <c r="C25" i="3"/>
  <c r="C24" i="3"/>
  <c r="C23" i="3"/>
  <c r="C14" i="3"/>
  <c r="E14" i="3"/>
  <c r="C13" i="3"/>
  <c r="E13" i="3"/>
  <c r="K18" i="14"/>
  <c r="K43" i="14"/>
  <c r="K53" i="14"/>
  <c r="K133" i="14" s="1"/>
  <c r="K63" i="14"/>
  <c r="K73" i="14"/>
  <c r="K84" i="14"/>
  <c r="K94" i="14"/>
  <c r="K116" i="14"/>
  <c r="K131" i="14"/>
  <c r="C174" i="13"/>
  <c r="H110" i="13"/>
  <c r="H109" i="13"/>
  <c r="K59" i="4"/>
  <c r="K14" i="4"/>
  <c r="K39" i="4"/>
  <c r="K129" i="4" s="1"/>
  <c r="K49" i="4"/>
  <c r="K69" i="4"/>
  <c r="K80" i="4"/>
  <c r="K90" i="4"/>
  <c r="K112" i="4"/>
  <c r="K127" i="4"/>
  <c r="F19" i="12"/>
  <c r="C68" i="12"/>
  <c r="C19" i="12"/>
  <c r="C98" i="12"/>
  <c r="C121" i="12"/>
  <c r="C137" i="12"/>
  <c r="C86" i="12"/>
  <c r="D71" i="1"/>
  <c r="F70" i="1"/>
  <c r="F68" i="1"/>
  <c r="F65" i="1"/>
  <c r="F66" i="1"/>
  <c r="F71" i="1" s="1"/>
  <c r="F67" i="1"/>
  <c r="F69" i="1"/>
  <c r="E71" i="1"/>
  <c r="F43" i="1"/>
  <c r="F44" i="1"/>
  <c r="F45" i="1"/>
  <c r="F46" i="1"/>
  <c r="F47" i="1"/>
  <c r="F49" i="1"/>
  <c r="F48" i="1"/>
  <c r="D49" i="1"/>
  <c r="E49" i="1"/>
  <c r="F36" i="1"/>
  <c r="F37" i="1"/>
  <c r="F38" i="1"/>
  <c r="F39" i="1"/>
  <c r="F41" i="1"/>
  <c r="F40" i="1"/>
  <c r="D41" i="1"/>
  <c r="E41" i="1"/>
  <c r="D41" i="3"/>
  <c r="D14" i="8"/>
  <c r="C16" i="2"/>
  <c r="C15" i="8"/>
  <c r="D15" i="8"/>
  <c r="C16" i="8"/>
  <c r="D16" i="8"/>
  <c r="B17" i="8"/>
  <c r="F23" i="8"/>
  <c r="F9" i="1"/>
  <c r="F10" i="1"/>
  <c r="F13" i="1"/>
  <c r="F14" i="1"/>
  <c r="F15" i="1"/>
  <c r="F21" i="1" s="1"/>
  <c r="F16" i="1"/>
  <c r="F17" i="1"/>
  <c r="F18" i="1"/>
  <c r="F19" i="1"/>
  <c r="F20" i="1"/>
  <c r="F23" i="1"/>
  <c r="F34" i="1" s="1"/>
  <c r="F24" i="1"/>
  <c r="F25" i="1"/>
  <c r="F26" i="1"/>
  <c r="F27" i="1"/>
  <c r="F28" i="1"/>
  <c r="F29" i="1"/>
  <c r="F60" i="1"/>
  <c r="F63" i="1" s="1"/>
  <c r="F61" i="1"/>
  <c r="F30" i="1"/>
  <c r="F62" i="1"/>
  <c r="F11" i="1"/>
  <c r="D73" i="1"/>
  <c r="E34" i="1"/>
  <c r="E21" i="1"/>
  <c r="E11" i="1"/>
  <c r="E73" i="1" s="1"/>
  <c r="E63" i="1"/>
  <c r="B15" i="5"/>
  <c r="A2" i="5"/>
  <c r="C12" i="2"/>
  <c r="C14" i="2"/>
  <c r="I42" i="12"/>
  <c r="G42" i="12"/>
  <c r="I37" i="12"/>
  <c r="G37" i="12"/>
  <c r="I33" i="12"/>
  <c r="G33" i="12"/>
  <c r="I28" i="12"/>
  <c r="G28" i="12"/>
  <c r="I24" i="12"/>
  <c r="G24" i="12"/>
  <c r="E26" i="3"/>
  <c r="B28" i="5"/>
  <c r="E28" i="3"/>
  <c r="B30" i="5"/>
  <c r="H107" i="12"/>
  <c r="B16" i="5"/>
  <c r="C18" i="8"/>
  <c r="C17" i="8"/>
  <c r="D17" i="8" s="1"/>
  <c r="C47" i="12"/>
  <c r="C139" i="12" s="1"/>
  <c r="E23" i="3"/>
  <c r="B25" i="5"/>
  <c r="E25" i="3"/>
  <c r="B27" i="5"/>
  <c r="E27" i="3"/>
  <c r="B29" i="5"/>
  <c r="E29" i="3"/>
  <c r="B31" i="5"/>
  <c r="I17" i="12"/>
  <c r="J17" i="12"/>
  <c r="F14" i="16"/>
  <c r="B14" i="18"/>
  <c r="D14" i="18" s="1"/>
  <c r="H14" i="13"/>
  <c r="H14" i="15" s="1"/>
  <c r="J14" i="15" s="1"/>
  <c r="B14" i="15"/>
  <c r="D14" i="15"/>
  <c r="G14" i="16"/>
  <c r="E14" i="18"/>
  <c r="G14" i="18" s="1"/>
  <c r="E14" i="15"/>
  <c r="G14" i="15" s="1"/>
  <c r="F119" i="16"/>
  <c r="B17" i="18" s="1"/>
  <c r="D17" i="18" s="1"/>
  <c r="B17" i="15"/>
  <c r="D17" i="15"/>
  <c r="B17" i="12"/>
  <c r="D17" i="12"/>
  <c r="B14" i="12"/>
  <c r="D14" i="12"/>
  <c r="D134" i="12"/>
  <c r="D125" i="12"/>
  <c r="P86" i="18"/>
  <c r="P51" i="18"/>
  <c r="P68" i="18" s="1"/>
  <c r="O68" i="18"/>
  <c r="D50" i="20"/>
  <c r="D52" i="20"/>
  <c r="E24" i="3"/>
  <c r="B26" i="5"/>
  <c r="H153" i="16"/>
  <c r="F103" i="14"/>
  <c r="H107" i="15"/>
  <c r="J107" i="15"/>
  <c r="K107" i="15" s="1"/>
  <c r="F15" i="16"/>
  <c r="B15" i="18" s="1"/>
  <c r="D15" i="18" s="1"/>
  <c r="B15" i="15"/>
  <c r="D15" i="15"/>
  <c r="H15" i="13"/>
  <c r="H15" i="15"/>
  <c r="J15" i="15" s="1"/>
  <c r="G15" i="16"/>
  <c r="E15" i="18" s="1"/>
  <c r="G15" i="18" s="1"/>
  <c r="E15" i="15"/>
  <c r="G15" i="15"/>
  <c r="I119" i="13"/>
  <c r="I13" i="4"/>
  <c r="B15" i="12"/>
  <c r="D15" i="12"/>
  <c r="K15" i="12" s="1"/>
  <c r="P125" i="18"/>
  <c r="S135" i="18"/>
  <c r="S134" i="18"/>
  <c r="S133" i="18"/>
  <c r="S132" i="18"/>
  <c r="S131" i="18"/>
  <c r="S129" i="18"/>
  <c r="S127" i="18"/>
  <c r="S125" i="18"/>
  <c r="S96" i="18"/>
  <c r="S94" i="18"/>
  <c r="S91" i="18"/>
  <c r="O86" i="18"/>
  <c r="M68" i="18"/>
  <c r="S66" i="18"/>
  <c r="S64" i="18"/>
  <c r="S63" i="18"/>
  <c r="S62" i="18"/>
  <c r="S61" i="18"/>
  <c r="S60" i="18"/>
  <c r="S59" i="18"/>
  <c r="S57" i="18"/>
  <c r="S56" i="18"/>
  <c r="S55" i="18"/>
  <c r="S54" i="18"/>
  <c r="S53" i="18"/>
  <c r="S52" i="18"/>
  <c r="S51" i="18"/>
  <c r="F156" i="17"/>
  <c r="H156" i="17"/>
  <c r="F147" i="17"/>
  <c r="I145" i="4"/>
  <c r="G137" i="15"/>
  <c r="J137" i="15"/>
  <c r="J68" i="15"/>
  <c r="H148" i="14"/>
  <c r="D121" i="18"/>
  <c r="D86" i="18"/>
  <c r="F155" i="4"/>
  <c r="I155" i="4" s="1"/>
  <c r="I154" i="4"/>
  <c r="F146" i="4"/>
  <c r="I146" i="4" s="1"/>
  <c r="D86" i="15"/>
  <c r="G98" i="15"/>
  <c r="G68" i="15"/>
  <c r="J98" i="15"/>
  <c r="J86" i="15"/>
  <c r="J47" i="15"/>
  <c r="D137" i="18"/>
  <c r="D98" i="18"/>
  <c r="D68" i="18"/>
  <c r="D47" i="18"/>
  <c r="F159" i="14"/>
  <c r="F150" i="14"/>
  <c r="H81" i="16"/>
  <c r="H94" i="18" s="1"/>
  <c r="J94" i="18" s="1"/>
  <c r="K94" i="18" s="1"/>
  <c r="H79" i="16"/>
  <c r="H91" i="18" s="1"/>
  <c r="J91" i="18" s="1"/>
  <c r="K91" i="18" s="1"/>
  <c r="J86" i="18"/>
  <c r="H39" i="16"/>
  <c r="H63" i="18"/>
  <c r="J63" i="18" s="1"/>
  <c r="K63" i="18" s="1"/>
  <c r="H45" i="16"/>
  <c r="H61" i="18"/>
  <c r="J61" i="18" s="1"/>
  <c r="K61" i="18" s="1"/>
  <c r="H48" i="16"/>
  <c r="H59" i="18"/>
  <c r="J59" i="18" s="1"/>
  <c r="K59" i="18" s="1"/>
  <c r="H44" i="16"/>
  <c r="H56" i="18"/>
  <c r="J56" i="18" s="1"/>
  <c r="K56" i="18" s="1"/>
  <c r="H47" i="16"/>
  <c r="H54" i="18"/>
  <c r="J54" i="18" s="1"/>
  <c r="K54" i="18" s="1"/>
  <c r="J96" i="18"/>
  <c r="K96" i="18" s="1"/>
  <c r="H80" i="16"/>
  <c r="H92" i="18" s="1"/>
  <c r="H78" i="16"/>
  <c r="H90" i="18" s="1"/>
  <c r="H41" i="16"/>
  <c r="H64" i="18"/>
  <c r="J64" i="18" s="1"/>
  <c r="K64" i="18" s="1"/>
  <c r="H43" i="16"/>
  <c r="H62" i="18"/>
  <c r="J62" i="18" s="1"/>
  <c r="K62" i="18" s="1"/>
  <c r="H50" i="16"/>
  <c r="H60" i="18"/>
  <c r="J60" i="18" s="1"/>
  <c r="K60" i="18" s="1"/>
  <c r="H42" i="16"/>
  <c r="H57" i="18"/>
  <c r="J57" i="18" s="1"/>
  <c r="K57" i="18" s="1"/>
  <c r="H49" i="16"/>
  <c r="H55" i="18"/>
  <c r="J55" i="18" s="1"/>
  <c r="K55" i="18" s="1"/>
  <c r="H14" i="16"/>
  <c r="H14" i="18"/>
  <c r="J14" i="18" s="1"/>
  <c r="I45" i="18"/>
  <c r="G45" i="18"/>
  <c r="I43" i="18"/>
  <c r="G43" i="18"/>
  <c r="I41" i="18"/>
  <c r="G41" i="18"/>
  <c r="H157" i="17"/>
  <c r="P137" i="15"/>
  <c r="P98" i="15"/>
  <c r="P86" i="15"/>
  <c r="P68" i="15"/>
  <c r="P47" i="15"/>
  <c r="E15" i="2"/>
  <c r="E12" i="2"/>
  <c r="E28" i="19"/>
  <c r="C103" i="15"/>
  <c r="D103" i="15" s="1"/>
  <c r="H19" i="16"/>
  <c r="H24" i="18"/>
  <c r="J24" i="18" s="1"/>
  <c r="H22" i="16"/>
  <c r="H26" i="18" s="1"/>
  <c r="J26" i="18"/>
  <c r="K26" i="18" s="1"/>
  <c r="H27" i="16"/>
  <c r="H28" i="18" s="1"/>
  <c r="J28" i="18"/>
  <c r="K28" i="18" s="1"/>
  <c r="H31" i="16"/>
  <c r="H30" i="18" s="1"/>
  <c r="J30" i="18"/>
  <c r="K30" i="18" s="1"/>
  <c r="E20" i="2"/>
  <c r="E14" i="2"/>
  <c r="E16" i="2"/>
  <c r="E42" i="19"/>
  <c r="D26" i="20"/>
  <c r="D28" i="20" s="1"/>
  <c r="E29" i="19"/>
  <c r="E30" i="19" s="1"/>
  <c r="H20" i="16"/>
  <c r="H25" i="18"/>
  <c r="J25" i="18" s="1"/>
  <c r="K25" i="18" s="1"/>
  <c r="H24" i="16"/>
  <c r="H27" i="18"/>
  <c r="J27" i="18" s="1"/>
  <c r="K27" i="18"/>
  <c r="H29" i="16"/>
  <c r="H29" i="18"/>
  <c r="J29" i="18" s="1"/>
  <c r="K29" i="18" s="1"/>
  <c r="H25" i="16"/>
  <c r="H31" i="18"/>
  <c r="J31" i="18" s="1"/>
  <c r="K31" i="18"/>
  <c r="A3" i="7"/>
  <c r="A3" i="9"/>
  <c r="A3" i="19"/>
  <c r="E30" i="3"/>
  <c r="E21" i="3"/>
  <c r="B23" i="5"/>
  <c r="E19" i="3"/>
  <c r="B21" i="5"/>
  <c r="E17" i="3"/>
  <c r="B19" i="5"/>
  <c r="E15" i="3"/>
  <c r="B17" i="5"/>
  <c r="B20" i="5"/>
  <c r="E18" i="3"/>
  <c r="E31" i="3"/>
  <c r="E22" i="3"/>
  <c r="B24" i="5"/>
  <c r="E20" i="3"/>
  <c r="B22" i="5"/>
  <c r="E16" i="3"/>
  <c r="B18" i="5"/>
  <c r="C13" i="2"/>
  <c r="A3" i="17"/>
  <c r="E43" i="19"/>
  <c r="G45" i="19" s="1"/>
  <c r="F103" i="15"/>
  <c r="C121" i="15"/>
  <c r="C139" i="15" s="1"/>
  <c r="G47" i="18"/>
  <c r="H150" i="14"/>
  <c r="D137" i="12"/>
  <c r="D19" i="12"/>
  <c r="G19" i="18"/>
  <c r="U15" i="12"/>
  <c r="K24" i="18"/>
  <c r="E21" i="2"/>
  <c r="J41" i="18"/>
  <c r="K41" i="18" s="1"/>
  <c r="M41" i="18"/>
  <c r="I47" i="18"/>
  <c r="J43" i="18"/>
  <c r="K43" i="18"/>
  <c r="M43" i="18"/>
  <c r="J45" i="18"/>
  <c r="K45" i="18" s="1"/>
  <c r="M45" i="18"/>
  <c r="F158" i="4"/>
  <c r="F159" i="17"/>
  <c r="H159" i="17" s="1"/>
  <c r="F149" i="4"/>
  <c r="H147" i="17"/>
  <c r="H148" i="17" s="1"/>
  <c r="H150" i="17" s="1"/>
  <c r="F150" i="17"/>
  <c r="S68" i="18"/>
  <c r="I119" i="16"/>
  <c r="H119" i="13"/>
  <c r="H17" i="15" s="1"/>
  <c r="J17" i="15" s="1"/>
  <c r="I17" i="14"/>
  <c r="K15" i="15"/>
  <c r="H107" i="18"/>
  <c r="J107" i="18" s="1"/>
  <c r="K107" i="18" s="1"/>
  <c r="F103" i="17"/>
  <c r="P103" i="17" s="1"/>
  <c r="U17" i="12"/>
  <c r="K17" i="12"/>
  <c r="G19" i="15"/>
  <c r="D19" i="15"/>
  <c r="K14" i="15"/>
  <c r="D19" i="18"/>
  <c r="D139" i="18" s="1"/>
  <c r="K14" i="18"/>
  <c r="C19" i="8"/>
  <c r="D18" i="8"/>
  <c r="M24" i="12"/>
  <c r="J24" i="12"/>
  <c r="M28" i="12"/>
  <c r="J28" i="12"/>
  <c r="K28" i="12" s="1"/>
  <c r="M33" i="12"/>
  <c r="J33" i="12"/>
  <c r="K33" i="12" s="1"/>
  <c r="M37" i="12"/>
  <c r="J37" i="12"/>
  <c r="K37" i="12" s="1"/>
  <c r="J42" i="12"/>
  <c r="K42" i="12"/>
  <c r="M42" i="12"/>
  <c r="I19" i="12"/>
  <c r="S37" i="12"/>
  <c r="T37" i="12" s="1"/>
  <c r="U37" i="12" s="1"/>
  <c r="O37" i="12"/>
  <c r="P37" i="12"/>
  <c r="S33" i="12"/>
  <c r="T33" i="12"/>
  <c r="U33" i="12" s="1"/>
  <c r="O33" i="12"/>
  <c r="P33" i="12" s="1"/>
  <c r="S28" i="12"/>
  <c r="T28" i="12" s="1"/>
  <c r="U28" i="12" s="1"/>
  <c r="O28" i="12"/>
  <c r="P28" i="12"/>
  <c r="C20" i="8"/>
  <c r="D19" i="8"/>
  <c r="H119" i="16"/>
  <c r="H17" i="18"/>
  <c r="J17" i="18" s="1"/>
  <c r="K17" i="18" s="1"/>
  <c r="I17" i="17"/>
  <c r="O41" i="18"/>
  <c r="S41" i="18"/>
  <c r="M47" i="18"/>
  <c r="J47" i="18"/>
  <c r="K24" i="12"/>
  <c r="D121" i="15"/>
  <c r="S42" i="12"/>
  <c r="T42" i="12" s="1"/>
  <c r="U42" i="12" s="1"/>
  <c r="O42" i="12"/>
  <c r="P42" i="12"/>
  <c r="S24" i="12"/>
  <c r="O24" i="12"/>
  <c r="O45" i="18"/>
  <c r="P45" i="18"/>
  <c r="S45" i="18"/>
  <c r="O43" i="18"/>
  <c r="P43" i="18" s="1"/>
  <c r="S43" i="18"/>
  <c r="D21" i="14"/>
  <c r="D23" i="14"/>
  <c r="D27" i="14"/>
  <c r="D30" i="14"/>
  <c r="D32" i="14"/>
  <c r="D34" i="14"/>
  <c r="D37" i="14"/>
  <c r="D39" i="14"/>
  <c r="D41" i="14"/>
  <c r="D46" i="14"/>
  <c r="D48" i="14"/>
  <c r="D50" i="14"/>
  <c r="D52" i="14"/>
  <c r="D56" i="14"/>
  <c r="D58" i="14"/>
  <c r="D60" i="14"/>
  <c r="D78" i="14"/>
  <c r="D80" i="14"/>
  <c r="D82" i="14"/>
  <c r="D87" i="14"/>
  <c r="D89" i="14"/>
  <c r="D93" i="14"/>
  <c r="D98" i="14"/>
  <c r="D100" i="14"/>
  <c r="D103" i="14"/>
  <c r="D106" i="14"/>
  <c r="D108" i="14"/>
  <c r="D111" i="14"/>
  <c r="D113" i="14"/>
  <c r="D115" i="14"/>
  <c r="D121" i="14"/>
  <c r="D124" i="14"/>
  <c r="D127" i="14"/>
  <c r="D129" i="14"/>
  <c r="D24" i="14"/>
  <c r="D25" i="14"/>
  <c r="D22" i="14"/>
  <c r="D26" i="14"/>
  <c r="D31" i="14"/>
  <c r="D33" i="14"/>
  <c r="D35" i="14"/>
  <c r="D38" i="14"/>
  <c r="D40" i="14"/>
  <c r="D42" i="14"/>
  <c r="D47" i="14"/>
  <c r="D49" i="14"/>
  <c r="D51" i="14"/>
  <c r="D55" i="14"/>
  <c r="D57" i="14"/>
  <c r="D59" i="14"/>
  <c r="D62" i="14"/>
  <c r="D77" i="14"/>
  <c r="D79" i="14"/>
  <c r="D81" i="14"/>
  <c r="D83" i="14"/>
  <c r="D88" i="14"/>
  <c r="D91" i="14"/>
  <c r="D97" i="14"/>
  <c r="D99" i="14"/>
  <c r="D101" i="14"/>
  <c r="D105" i="14"/>
  <c r="D107" i="14"/>
  <c r="D110" i="14"/>
  <c r="D112" i="14"/>
  <c r="G112" i="14" s="1"/>
  <c r="D114" i="14"/>
  <c r="D120" i="14"/>
  <c r="D122" i="14"/>
  <c r="D126" i="14"/>
  <c r="R131" i="15" s="1"/>
  <c r="T131" i="15" s="1"/>
  <c r="U131" i="15" s="1"/>
  <c r="D128" i="14"/>
  <c r="D130" i="14"/>
  <c r="R135" i="15" s="1"/>
  <c r="T135" i="15" s="1"/>
  <c r="U135" i="15" s="1"/>
  <c r="I103" i="15"/>
  <c r="G103" i="15"/>
  <c r="G121" i="15" s="1"/>
  <c r="F121" i="15"/>
  <c r="F139" i="15"/>
  <c r="E33" i="19"/>
  <c r="E32" i="19"/>
  <c r="E34" i="19" s="1"/>
  <c r="E35" i="19" s="1"/>
  <c r="G37" i="19" s="1"/>
  <c r="G48" i="19" s="1"/>
  <c r="B9" i="5" s="1"/>
  <c r="G130" i="14"/>
  <c r="G126" i="14"/>
  <c r="R127" i="15"/>
  <c r="T127" i="15" s="1"/>
  <c r="U127" i="15" s="1"/>
  <c r="R116" i="15"/>
  <c r="T116" i="15" s="1"/>
  <c r="U116" i="15" s="1"/>
  <c r="R111" i="15"/>
  <c r="T111" i="15"/>
  <c r="U111" i="15" s="1"/>
  <c r="R106" i="15"/>
  <c r="T106" i="15" s="1"/>
  <c r="U106" i="15" s="1"/>
  <c r="R102" i="15"/>
  <c r="T102" i="15"/>
  <c r="R91" i="15"/>
  <c r="T91" i="15"/>
  <c r="U91" i="15" s="1"/>
  <c r="G81" i="14"/>
  <c r="R82" i="15"/>
  <c r="T82" i="15"/>
  <c r="U82" i="15" s="1"/>
  <c r="G77" i="14"/>
  <c r="R78" i="15"/>
  <c r="T78" i="15"/>
  <c r="U78" i="15" s="1"/>
  <c r="R63" i="15"/>
  <c r="T63" i="15" s="1"/>
  <c r="U63" i="15" s="1"/>
  <c r="R59" i="15"/>
  <c r="T59" i="15"/>
  <c r="U59" i="15" s="1"/>
  <c r="R54" i="15"/>
  <c r="T54" i="15" s="1"/>
  <c r="U54" i="15" s="1"/>
  <c r="R45" i="15"/>
  <c r="T45" i="15"/>
  <c r="U45" i="15" s="1"/>
  <c r="G42" i="14"/>
  <c r="R41" i="15"/>
  <c r="T41" i="15"/>
  <c r="U41" i="15" s="1"/>
  <c r="G38" i="14"/>
  <c r="R36" i="15"/>
  <c r="T36" i="15"/>
  <c r="U36" i="15" s="1"/>
  <c r="R29" i="15"/>
  <c r="T29" i="15" s="1"/>
  <c r="U29" i="15" s="1"/>
  <c r="D15" i="14"/>
  <c r="R28" i="15"/>
  <c r="T28" i="15" s="1"/>
  <c r="U28" i="15" s="1"/>
  <c r="R134" i="15"/>
  <c r="T134" i="15"/>
  <c r="U134" i="15" s="1"/>
  <c r="G129" i="14"/>
  <c r="R129" i="15"/>
  <c r="T129" i="15"/>
  <c r="U129" i="15" s="1"/>
  <c r="G115" i="14"/>
  <c r="R119" i="15"/>
  <c r="T119" i="15"/>
  <c r="U119" i="15" s="1"/>
  <c r="R115" i="15"/>
  <c r="T115" i="15" s="1"/>
  <c r="U115" i="15" s="1"/>
  <c r="G111" i="14"/>
  <c r="R110" i="15"/>
  <c r="T110" i="15" s="1"/>
  <c r="U110" i="15" s="1"/>
  <c r="R105" i="15"/>
  <c r="T105" i="15"/>
  <c r="U105" i="15" s="1"/>
  <c r="R96" i="15"/>
  <c r="T96" i="15" s="1"/>
  <c r="U96" i="15" s="1"/>
  <c r="G93" i="14"/>
  <c r="R90" i="15"/>
  <c r="T90" i="15" s="1"/>
  <c r="G80" i="14"/>
  <c r="R80" i="15"/>
  <c r="T80" i="15"/>
  <c r="U80" i="15" s="1"/>
  <c r="R64" i="15"/>
  <c r="T64" i="15" s="1"/>
  <c r="U64" i="15" s="1"/>
  <c r="R60" i="15"/>
  <c r="T60" i="15"/>
  <c r="U60" i="15" s="1"/>
  <c r="R55" i="15"/>
  <c r="T55" i="15" s="1"/>
  <c r="U55" i="15" s="1"/>
  <c r="R51" i="15"/>
  <c r="T51" i="15"/>
  <c r="G39" i="14"/>
  <c r="R42" i="15"/>
  <c r="T42" i="15" s="1"/>
  <c r="U42" i="15" s="1"/>
  <c r="R37" i="15"/>
  <c r="T37" i="15"/>
  <c r="U37" i="15" s="1"/>
  <c r="R33" i="15"/>
  <c r="T33" i="15" s="1"/>
  <c r="U33" i="15" s="1"/>
  <c r="R26" i="15"/>
  <c r="T26" i="15"/>
  <c r="U26" i="15" s="1"/>
  <c r="T24" i="12"/>
  <c r="U24" i="12"/>
  <c r="M103" i="15"/>
  <c r="I121" i="15"/>
  <c r="I139" i="15"/>
  <c r="J103" i="15"/>
  <c r="J121" i="15"/>
  <c r="G128" i="14"/>
  <c r="R133" i="15"/>
  <c r="T133" i="15"/>
  <c r="U133" i="15" s="1"/>
  <c r="R126" i="15"/>
  <c r="T126" i="15" s="1"/>
  <c r="G114" i="14"/>
  <c r="R118" i="15"/>
  <c r="T118" i="15" s="1"/>
  <c r="U118" i="15" s="1"/>
  <c r="G110" i="14"/>
  <c r="R114" i="15"/>
  <c r="T114" i="15" s="1"/>
  <c r="U114" i="15" s="1"/>
  <c r="R109" i="15"/>
  <c r="T109" i="15"/>
  <c r="U109" i="15" s="1"/>
  <c r="R104" i="15"/>
  <c r="T104" i="15" s="1"/>
  <c r="U104" i="15" s="1"/>
  <c r="R94" i="15"/>
  <c r="T94" i="15"/>
  <c r="U94" i="15" s="1"/>
  <c r="G83" i="14"/>
  <c r="R84" i="15"/>
  <c r="T84" i="15"/>
  <c r="U84" i="15" s="1"/>
  <c r="R81" i="15"/>
  <c r="T81" i="15" s="1"/>
  <c r="U81" i="15" s="1"/>
  <c r="G79" i="14"/>
  <c r="G62" i="14"/>
  <c r="R66" i="15"/>
  <c r="T66" i="15"/>
  <c r="U66" i="15" s="1"/>
  <c r="R61" i="15"/>
  <c r="T61" i="15" s="1"/>
  <c r="U61" i="15" s="1"/>
  <c r="R56" i="15"/>
  <c r="T56" i="15"/>
  <c r="U56" i="15" s="1"/>
  <c r="R52" i="15"/>
  <c r="T52" i="15" s="1"/>
  <c r="R43" i="15"/>
  <c r="T43" i="15"/>
  <c r="U43" i="15" s="1"/>
  <c r="G40" i="14"/>
  <c r="R38" i="15"/>
  <c r="T38" i="15"/>
  <c r="U38" i="15" s="1"/>
  <c r="R34" i="15"/>
  <c r="T34" i="15" s="1"/>
  <c r="U34" i="15" s="1"/>
  <c r="R25" i="15"/>
  <c r="T25" i="15"/>
  <c r="U25" i="15" s="1"/>
  <c r="D14" i="14"/>
  <c r="D17" i="14"/>
  <c r="R27" i="15"/>
  <c r="T27" i="15" s="1"/>
  <c r="U27" i="15" s="1"/>
  <c r="G127" i="14"/>
  <c r="R132" i="15"/>
  <c r="T132" i="15" s="1"/>
  <c r="U132" i="15" s="1"/>
  <c r="R125" i="15"/>
  <c r="T125" i="15"/>
  <c r="R117" i="15"/>
  <c r="T117" i="15"/>
  <c r="U117" i="15" s="1"/>
  <c r="G113" i="14"/>
  <c r="R112" i="15"/>
  <c r="T112" i="15"/>
  <c r="U112" i="15" s="1"/>
  <c r="R107" i="15"/>
  <c r="T107" i="15" s="1"/>
  <c r="U107" i="15" s="1"/>
  <c r="G103" i="14"/>
  <c r="R103" i="15"/>
  <c r="R92" i="15"/>
  <c r="T92" i="15"/>
  <c r="U92" i="15" s="1"/>
  <c r="G82" i="14"/>
  <c r="R83" i="15"/>
  <c r="T83" i="15"/>
  <c r="U83" i="15" s="1"/>
  <c r="G78" i="14"/>
  <c r="R79" i="15"/>
  <c r="T79" i="15"/>
  <c r="U79" i="15" s="1"/>
  <c r="R62" i="15"/>
  <c r="T62" i="15" s="1"/>
  <c r="U62" i="15" s="1"/>
  <c r="R57" i="15"/>
  <c r="T57" i="15"/>
  <c r="U57" i="15" s="1"/>
  <c r="R53" i="15"/>
  <c r="T53" i="15" s="1"/>
  <c r="U53" i="15" s="1"/>
  <c r="G41" i="14"/>
  <c r="R44" i="15"/>
  <c r="T44" i="15" s="1"/>
  <c r="U44" i="15" s="1"/>
  <c r="G37" i="14"/>
  <c r="R40" i="15"/>
  <c r="T40" i="15" s="1"/>
  <c r="U40" i="15" s="1"/>
  <c r="R35" i="15"/>
  <c r="T35" i="15"/>
  <c r="U35" i="15" s="1"/>
  <c r="R30" i="15"/>
  <c r="T30" i="15" s="1"/>
  <c r="U30" i="15" s="1"/>
  <c r="R24" i="15"/>
  <c r="T24" i="15"/>
  <c r="P24" i="12"/>
  <c r="K103" i="15"/>
  <c r="K121" i="15" s="1"/>
  <c r="P41" i="18"/>
  <c r="P47" i="18" s="1"/>
  <c r="O47" i="18"/>
  <c r="D20" i="8"/>
  <c r="C21" i="8"/>
  <c r="D21" i="8"/>
  <c r="C22" i="8"/>
  <c r="J37" i="14"/>
  <c r="H37" i="14"/>
  <c r="L37" i="14"/>
  <c r="J41" i="14"/>
  <c r="H41" i="14"/>
  <c r="L41" i="14"/>
  <c r="H78" i="14"/>
  <c r="L78" i="14"/>
  <c r="J78" i="14"/>
  <c r="H82" i="14"/>
  <c r="L82" i="14"/>
  <c r="J82" i="14"/>
  <c r="U125" i="15"/>
  <c r="H127" i="14"/>
  <c r="L127" i="14"/>
  <c r="J127" i="14"/>
  <c r="R14" i="15"/>
  <c r="T14" i="15" s="1"/>
  <c r="H62" i="14"/>
  <c r="J62" i="14"/>
  <c r="L62" i="14"/>
  <c r="J83" i="14"/>
  <c r="H83" i="14"/>
  <c r="L83" i="14"/>
  <c r="H110" i="14"/>
  <c r="L110" i="14"/>
  <c r="J110" i="14"/>
  <c r="H114" i="14"/>
  <c r="L114" i="14"/>
  <c r="J114" i="14"/>
  <c r="H128" i="14"/>
  <c r="J128" i="14"/>
  <c r="L128" i="14"/>
  <c r="L39" i="14"/>
  <c r="H39" i="14"/>
  <c r="J39" i="14"/>
  <c r="U51" i="15"/>
  <c r="H80" i="14"/>
  <c r="L80" i="14"/>
  <c r="J80" i="14"/>
  <c r="J115" i="14"/>
  <c r="H115" i="14"/>
  <c r="L115" i="14"/>
  <c r="H38" i="14"/>
  <c r="L38" i="14"/>
  <c r="J38" i="14"/>
  <c r="H42" i="14"/>
  <c r="L42" i="14"/>
  <c r="J42" i="14"/>
  <c r="U102" i="15"/>
  <c r="C18" i="2"/>
  <c r="U24" i="15"/>
  <c r="L103" i="14"/>
  <c r="J103" i="14"/>
  <c r="H103" i="14"/>
  <c r="L113" i="14"/>
  <c r="H113" i="14"/>
  <c r="J113" i="14"/>
  <c r="R17" i="15"/>
  <c r="T17" i="15"/>
  <c r="U17" i="15" s="1"/>
  <c r="G17" i="14"/>
  <c r="H40" i="14"/>
  <c r="L40" i="14"/>
  <c r="J40" i="14"/>
  <c r="J79" i="14"/>
  <c r="H79" i="14"/>
  <c r="L79" i="14"/>
  <c r="O103" i="15"/>
  <c r="S103" i="15"/>
  <c r="S121" i="15" s="1"/>
  <c r="M121" i="15"/>
  <c r="M139" i="15"/>
  <c r="U90" i="15"/>
  <c r="U98" i="15"/>
  <c r="T98" i="15"/>
  <c r="H93" i="14"/>
  <c r="L93" i="14"/>
  <c r="J93" i="14"/>
  <c r="J111" i="14"/>
  <c r="H111" i="14"/>
  <c r="L111" i="14"/>
  <c r="L129" i="14"/>
  <c r="H129" i="14"/>
  <c r="J129" i="14"/>
  <c r="R15" i="15"/>
  <c r="T15" i="15"/>
  <c r="U15" i="15" s="1"/>
  <c r="J77" i="14"/>
  <c r="H77" i="14"/>
  <c r="H84" i="14"/>
  <c r="L77" i="14"/>
  <c r="L81" i="14"/>
  <c r="H81" i="14"/>
  <c r="J81" i="14"/>
  <c r="H112" i="14"/>
  <c r="L112" i="14"/>
  <c r="J112" i="14"/>
  <c r="L126" i="14"/>
  <c r="J126" i="14"/>
  <c r="H126" i="14"/>
  <c r="H130" i="14"/>
  <c r="L130" i="14"/>
  <c r="J130" i="14"/>
  <c r="P103" i="15"/>
  <c r="P121" i="15" s="1"/>
  <c r="O121" i="15"/>
  <c r="O139" i="15"/>
  <c r="C19" i="2"/>
  <c r="L84" i="14"/>
  <c r="J17" i="14"/>
  <c r="L17" i="14"/>
  <c r="H17" i="14"/>
  <c r="T103" i="15"/>
  <c r="U14" i="15"/>
  <c r="U19" i="15" s="1"/>
  <c r="T19" i="15"/>
  <c r="D22" i="8"/>
  <c r="C23" i="8"/>
  <c r="C24" i="8"/>
  <c r="D24" i="8" s="1"/>
  <c r="D23" i="8"/>
  <c r="E22" i="8" s="1"/>
  <c r="F22" i="8" s="1"/>
  <c r="U103" i="15"/>
  <c r="U121" i="15"/>
  <c r="T121" i="15"/>
  <c r="C15" i="2"/>
  <c r="E16" i="8"/>
  <c r="F16" i="8"/>
  <c r="E15" i="8"/>
  <c r="F15" i="8"/>
  <c r="E17" i="8"/>
  <c r="F17" i="8"/>
  <c r="E18" i="8"/>
  <c r="F18" i="8"/>
  <c r="E19" i="8"/>
  <c r="F19" i="8"/>
  <c r="E20" i="8"/>
  <c r="F20" i="8"/>
  <c r="E21" i="8"/>
  <c r="F21" i="8"/>
  <c r="D12" i="2"/>
  <c r="F12" i="2" s="1"/>
  <c r="D13" i="2"/>
  <c r="F13" i="2" s="1"/>
  <c r="D14" i="2"/>
  <c r="F14" i="2" s="1"/>
  <c r="D17" i="2"/>
  <c r="F17" i="2" s="1"/>
  <c r="D18" i="2"/>
  <c r="F18" i="2" s="1"/>
  <c r="D19" i="2"/>
  <c r="F19" i="2" s="1"/>
  <c r="D15" i="2"/>
  <c r="F15" i="2" s="1"/>
  <c r="D16" i="2"/>
  <c r="F16" i="2" s="1"/>
  <c r="F21" i="2" l="1"/>
  <c r="D27" i="2" s="1"/>
  <c r="C20" i="2"/>
  <c r="D20" i="2" s="1"/>
  <c r="F20" i="2" s="1"/>
  <c r="E24" i="8"/>
  <c r="F24" i="8" s="1"/>
  <c r="U126" i="15"/>
  <c r="U137" i="15" s="1"/>
  <c r="T137" i="15"/>
  <c r="J19" i="15"/>
  <c r="J139" i="15" s="1"/>
  <c r="K17" i="15"/>
  <c r="D98" i="17"/>
  <c r="D97" i="17"/>
  <c r="D21" i="17"/>
  <c r="D23" i="17"/>
  <c r="D27" i="17"/>
  <c r="D30" i="17"/>
  <c r="D32" i="17"/>
  <c r="D34" i="17"/>
  <c r="D37" i="17"/>
  <c r="D39" i="17"/>
  <c r="D41" i="17"/>
  <c r="D46" i="17"/>
  <c r="D48" i="17"/>
  <c r="D50" i="17"/>
  <c r="D52" i="17"/>
  <c r="D56" i="17"/>
  <c r="D58" i="17"/>
  <c r="D60" i="17"/>
  <c r="D77" i="17"/>
  <c r="D79" i="17"/>
  <c r="D81" i="17"/>
  <c r="D83" i="17"/>
  <c r="D88" i="17"/>
  <c r="D91" i="17"/>
  <c r="D99" i="17"/>
  <c r="D101" i="17"/>
  <c r="D106" i="17"/>
  <c r="D108" i="17"/>
  <c r="D111" i="17"/>
  <c r="D113" i="17"/>
  <c r="D115" i="17"/>
  <c r="D121" i="17"/>
  <c r="D124" i="17"/>
  <c r="D127" i="17"/>
  <c r="D129" i="17"/>
  <c r="D103" i="17"/>
  <c r="D24" i="17"/>
  <c r="D22" i="17"/>
  <c r="D26" i="17"/>
  <c r="D25" i="17"/>
  <c r="D31" i="17"/>
  <c r="D33" i="17"/>
  <c r="D35" i="17"/>
  <c r="D38" i="17"/>
  <c r="D40" i="17"/>
  <c r="D42" i="17"/>
  <c r="D47" i="17"/>
  <c r="D49" i="17"/>
  <c r="D51" i="17"/>
  <c r="D55" i="17"/>
  <c r="D57" i="17"/>
  <c r="D59" i="17"/>
  <c r="D62" i="17"/>
  <c r="D78" i="17"/>
  <c r="D80" i="17"/>
  <c r="D82" i="17"/>
  <c r="D87" i="17"/>
  <c r="D89" i="17"/>
  <c r="D93" i="17"/>
  <c r="D100" i="17"/>
  <c r="D105" i="17"/>
  <c r="D107" i="17"/>
  <c r="D110" i="17"/>
  <c r="D112" i="17"/>
  <c r="D114" i="17"/>
  <c r="D120" i="17"/>
  <c r="D122" i="17"/>
  <c r="D126" i="17"/>
  <c r="D128" i="17"/>
  <c r="D130" i="17"/>
  <c r="D28" i="17"/>
  <c r="D69" i="17"/>
  <c r="D71" i="17"/>
  <c r="D68" i="17"/>
  <c r="D70" i="17"/>
  <c r="D72" i="17"/>
  <c r="K47" i="18"/>
  <c r="E14" i="8"/>
  <c r="F14" i="8" s="1"/>
  <c r="U52" i="15"/>
  <c r="U68" i="15" s="1"/>
  <c r="T68" i="15"/>
  <c r="K19" i="15"/>
  <c r="K139" i="15" s="1"/>
  <c r="A3" i="14"/>
  <c r="A3" i="8"/>
  <c r="K63" i="12"/>
  <c r="K54" i="12"/>
  <c r="K34" i="12"/>
  <c r="K43" i="12"/>
  <c r="I45" i="12"/>
  <c r="G45" i="12"/>
  <c r="M43" i="12"/>
  <c r="J43" i="12"/>
  <c r="I41" i="12"/>
  <c r="G41" i="12"/>
  <c r="J38" i="12"/>
  <c r="K38" i="12" s="1"/>
  <c r="M38" i="12"/>
  <c r="I36" i="12"/>
  <c r="G36" i="12"/>
  <c r="M34" i="12"/>
  <c r="J34" i="12"/>
  <c r="J31" i="12"/>
  <c r="K31" i="12" s="1"/>
  <c r="M31" i="12"/>
  <c r="J29" i="12"/>
  <c r="K29" i="12" s="1"/>
  <c r="M29" i="12"/>
  <c r="M27" i="12"/>
  <c r="J27" i="12"/>
  <c r="K27" i="12" s="1"/>
  <c r="M25" i="12"/>
  <c r="J25" i="12"/>
  <c r="K132" i="12"/>
  <c r="I131" i="12"/>
  <c r="G131" i="12"/>
  <c r="K127" i="12"/>
  <c r="S127" i="12"/>
  <c r="T127" i="12" s="1"/>
  <c r="U127" i="12" s="1"/>
  <c r="O127" i="12"/>
  <c r="P127" i="12" s="1"/>
  <c r="O126" i="12"/>
  <c r="P126" i="12" s="1"/>
  <c r="S126" i="12"/>
  <c r="T126" i="12" s="1"/>
  <c r="U126" i="12" s="1"/>
  <c r="I125" i="12"/>
  <c r="G125" i="12"/>
  <c r="F137" i="12"/>
  <c r="K117" i="12"/>
  <c r="O117" i="12"/>
  <c r="P117" i="12" s="1"/>
  <c r="S117" i="12"/>
  <c r="T117" i="12" s="1"/>
  <c r="U117" i="12" s="1"/>
  <c r="S116" i="12"/>
  <c r="T116" i="12" s="1"/>
  <c r="U116" i="12" s="1"/>
  <c r="O116" i="12"/>
  <c r="P116" i="12" s="1"/>
  <c r="K112" i="12"/>
  <c r="O112" i="12"/>
  <c r="P112" i="12" s="1"/>
  <c r="S112" i="12"/>
  <c r="T112" i="12" s="1"/>
  <c r="U112" i="12" s="1"/>
  <c r="S111" i="12"/>
  <c r="T111" i="12" s="1"/>
  <c r="U111" i="12" s="1"/>
  <c r="O111" i="12"/>
  <c r="P111" i="12" s="1"/>
  <c r="K104" i="12"/>
  <c r="D121" i="12"/>
  <c r="K106" i="12"/>
  <c r="O106" i="12"/>
  <c r="P106" i="12" s="1"/>
  <c r="S106" i="12"/>
  <c r="T106" i="12" s="1"/>
  <c r="U106" i="12" s="1"/>
  <c r="S105" i="12"/>
  <c r="T105" i="12" s="1"/>
  <c r="U105" i="12" s="1"/>
  <c r="O105" i="12"/>
  <c r="P105" i="12" s="1"/>
  <c r="O96" i="12"/>
  <c r="P96" i="12" s="1"/>
  <c r="S96" i="12"/>
  <c r="T96" i="12" s="1"/>
  <c r="U96" i="12" s="1"/>
  <c r="M94" i="12"/>
  <c r="J94" i="12"/>
  <c r="K94" i="12" s="1"/>
  <c r="J92" i="12"/>
  <c r="M92" i="12"/>
  <c r="I75" i="12"/>
  <c r="G75" i="12"/>
  <c r="M74" i="12"/>
  <c r="J74" i="12"/>
  <c r="D86" i="12"/>
  <c r="I84" i="12"/>
  <c r="G84" i="12"/>
  <c r="M83" i="12"/>
  <c r="J83" i="12"/>
  <c r="I80" i="12"/>
  <c r="G80" i="12"/>
  <c r="M79" i="12"/>
  <c r="J79" i="12"/>
  <c r="M78" i="12"/>
  <c r="J78" i="12"/>
  <c r="I66" i="12"/>
  <c r="G66" i="12"/>
  <c r="M64" i="12"/>
  <c r="J64" i="12"/>
  <c r="S63" i="12"/>
  <c r="T63" i="12" s="1"/>
  <c r="U63" i="12" s="1"/>
  <c r="O63" i="12"/>
  <c r="P63" i="12" s="1"/>
  <c r="O62" i="12"/>
  <c r="P62" i="12" s="1"/>
  <c r="S62" i="12"/>
  <c r="T62" i="12" s="1"/>
  <c r="U62" i="12" s="1"/>
  <c r="I61" i="12"/>
  <c r="G61" i="12"/>
  <c r="M60" i="12"/>
  <c r="J60" i="12"/>
  <c r="S59" i="12"/>
  <c r="T59" i="12" s="1"/>
  <c r="U59" i="12" s="1"/>
  <c r="O59" i="12"/>
  <c r="P59" i="12" s="1"/>
  <c r="O57" i="12"/>
  <c r="P57" i="12" s="1"/>
  <c r="S57" i="12"/>
  <c r="T57" i="12" s="1"/>
  <c r="U57" i="12" s="1"/>
  <c r="I56" i="12"/>
  <c r="G56" i="12"/>
  <c r="M55" i="12"/>
  <c r="J55" i="12"/>
  <c r="S54" i="12"/>
  <c r="T54" i="12" s="1"/>
  <c r="U54" i="12" s="1"/>
  <c r="O54" i="12"/>
  <c r="P54" i="12" s="1"/>
  <c r="O53" i="12"/>
  <c r="P53" i="12" s="1"/>
  <c r="S53" i="12"/>
  <c r="T53" i="12" s="1"/>
  <c r="U53" i="12" s="1"/>
  <c r="I52" i="12"/>
  <c r="G52" i="12"/>
  <c r="F68" i="12"/>
  <c r="M51" i="12"/>
  <c r="J51" i="12"/>
  <c r="I68" i="12"/>
  <c r="I156" i="4"/>
  <c r="I158" i="4" s="1"/>
  <c r="I147" i="4"/>
  <c r="I149" i="4" s="1"/>
  <c r="F73" i="1"/>
  <c r="K92" i="12"/>
  <c r="G98" i="12"/>
  <c r="G68" i="12"/>
  <c r="G121" i="12"/>
  <c r="G19" i="12"/>
  <c r="K14" i="12"/>
  <c r="K19" i="12" s="1"/>
  <c r="G44" i="12"/>
  <c r="I44" i="12"/>
  <c r="I40" i="12"/>
  <c r="G40" i="12"/>
  <c r="G35" i="12"/>
  <c r="I35" i="12"/>
  <c r="I30" i="12"/>
  <c r="G30" i="12"/>
  <c r="G26" i="12"/>
  <c r="I26" i="12"/>
  <c r="F47" i="12"/>
  <c r="J14" i="12"/>
  <c r="J19" i="12" s="1"/>
  <c r="M14" i="12"/>
  <c r="J135" i="12"/>
  <c r="K135" i="12" s="1"/>
  <c r="M135" i="12"/>
  <c r="M134" i="12"/>
  <c r="J134" i="12"/>
  <c r="K134" i="12" s="1"/>
  <c r="J133" i="12"/>
  <c r="K133" i="12" s="1"/>
  <c r="M133" i="12"/>
  <c r="O132" i="12"/>
  <c r="P132" i="12" s="1"/>
  <c r="S132" i="12"/>
  <c r="T132" i="12" s="1"/>
  <c r="U132" i="12" s="1"/>
  <c r="M129" i="12"/>
  <c r="J129" i="12"/>
  <c r="K129" i="12" s="1"/>
  <c r="K126" i="12"/>
  <c r="K119" i="12"/>
  <c r="S119" i="12"/>
  <c r="T119" i="12" s="1"/>
  <c r="U119" i="12" s="1"/>
  <c r="O119" i="12"/>
  <c r="P119" i="12" s="1"/>
  <c r="S118" i="12"/>
  <c r="T118" i="12" s="1"/>
  <c r="U118" i="12" s="1"/>
  <c r="O118" i="12"/>
  <c r="P118" i="12" s="1"/>
  <c r="K115" i="12"/>
  <c r="O115" i="12"/>
  <c r="P115" i="12" s="1"/>
  <c r="S115" i="12"/>
  <c r="T115" i="12" s="1"/>
  <c r="U115" i="12" s="1"/>
  <c r="S114" i="12"/>
  <c r="T114" i="12" s="1"/>
  <c r="U114" i="12" s="1"/>
  <c r="O114" i="12"/>
  <c r="P114" i="12" s="1"/>
  <c r="K110" i="12"/>
  <c r="O110" i="12"/>
  <c r="P110" i="12" s="1"/>
  <c r="S110" i="12"/>
  <c r="T110" i="12" s="1"/>
  <c r="U110" i="12" s="1"/>
  <c r="S109" i="12"/>
  <c r="T109" i="12" s="1"/>
  <c r="U109" i="12" s="1"/>
  <c r="O109" i="12"/>
  <c r="P109" i="12" s="1"/>
  <c r="J107" i="12"/>
  <c r="K107" i="12" s="1"/>
  <c r="M107" i="12"/>
  <c r="S104" i="12"/>
  <c r="T104" i="12" s="1"/>
  <c r="U104" i="12" s="1"/>
  <c r="O104" i="12"/>
  <c r="P104" i="12" s="1"/>
  <c r="M103" i="12"/>
  <c r="J103" i="12"/>
  <c r="K103" i="12" s="1"/>
  <c r="I102" i="12"/>
  <c r="F121" i="12"/>
  <c r="D98" i="12"/>
  <c r="K96" i="12"/>
  <c r="K90" i="12"/>
  <c r="M90" i="12"/>
  <c r="I98" i="12"/>
  <c r="I91" i="12"/>
  <c r="M91" i="12" s="1"/>
  <c r="F98" i="12"/>
  <c r="M76" i="12"/>
  <c r="J76" i="12"/>
  <c r="K76" i="12" s="1"/>
  <c r="K74" i="12"/>
  <c r="I73" i="12"/>
  <c r="G73" i="12"/>
  <c r="F86" i="12"/>
  <c r="M72" i="12"/>
  <c r="J72" i="12"/>
  <c r="I86" i="12"/>
  <c r="K83" i="12"/>
  <c r="I82" i="12"/>
  <c r="G82" i="12"/>
  <c r="M81" i="12"/>
  <c r="J81" i="12"/>
  <c r="K81" i="12" s="1"/>
  <c r="K79" i="12"/>
  <c r="K78" i="12"/>
  <c r="K64" i="12"/>
  <c r="K62" i="12"/>
  <c r="K60" i="12"/>
  <c r="K57" i="12"/>
  <c r="K55" i="12"/>
  <c r="K53" i="12"/>
  <c r="K51" i="12"/>
  <c r="D68" i="12"/>
  <c r="H15" i="16"/>
  <c r="H15" i="18" s="1"/>
  <c r="J15" i="18" s="1"/>
  <c r="P17" i="15"/>
  <c r="P19" i="15" s="1"/>
  <c r="P139" i="15" s="1"/>
  <c r="S86" i="15"/>
  <c r="I123" i="16"/>
  <c r="O102" i="18"/>
  <c r="S102" i="18"/>
  <c r="S121" i="18" s="1"/>
  <c r="P14" i="18"/>
  <c r="P19" i="18" s="1"/>
  <c r="O19" i="18"/>
  <c r="H110" i="16"/>
  <c r="S19" i="15"/>
  <c r="S47" i="15"/>
  <c r="S137" i="15"/>
  <c r="F139" i="18"/>
  <c r="H109" i="16"/>
  <c r="D68" i="15"/>
  <c r="D47" i="15"/>
  <c r="J135" i="18"/>
  <c r="K135" i="18" s="1"/>
  <c r="I126" i="18"/>
  <c r="J126" i="18" s="1"/>
  <c r="G126" i="18"/>
  <c r="I92" i="18"/>
  <c r="M92" i="18" s="1"/>
  <c r="G92" i="18"/>
  <c r="I90" i="18"/>
  <c r="G90" i="18"/>
  <c r="S72" i="18"/>
  <c r="S86" i="18" s="1"/>
  <c r="S44" i="18"/>
  <c r="S42" i="18"/>
  <c r="S40" i="18"/>
  <c r="S38" i="18"/>
  <c r="S37" i="18"/>
  <c r="S36" i="18"/>
  <c r="S35" i="18"/>
  <c r="S34" i="18"/>
  <c r="S33" i="18"/>
  <c r="S31" i="18"/>
  <c r="S30" i="18"/>
  <c r="S29" i="18"/>
  <c r="S28" i="18"/>
  <c r="S27" i="18"/>
  <c r="S26" i="18"/>
  <c r="S25" i="18"/>
  <c r="S24" i="18"/>
  <c r="M19" i="18"/>
  <c r="O123" i="4"/>
  <c r="P108" i="4"/>
  <c r="P77" i="4"/>
  <c r="P73" i="4"/>
  <c r="P65" i="4"/>
  <c r="P38" i="4"/>
  <c r="P34" i="4"/>
  <c r="G47" i="15"/>
  <c r="G139" i="15" s="1"/>
  <c r="G68" i="18"/>
  <c r="G121" i="18"/>
  <c r="H103" i="16"/>
  <c r="H127" i="18" s="1"/>
  <c r="J127" i="18" s="1"/>
  <c r="K127" i="18" s="1"/>
  <c r="H101" i="16"/>
  <c r="H125" i="18" s="1"/>
  <c r="J125" i="18" s="1"/>
  <c r="H155" i="14"/>
  <c r="H157" i="14" s="1"/>
  <c r="H159" i="14" s="1"/>
  <c r="J118" i="18"/>
  <c r="K118" i="18" s="1"/>
  <c r="J116" i="18"/>
  <c r="K116" i="18" s="1"/>
  <c r="J114" i="18"/>
  <c r="K114" i="18" s="1"/>
  <c r="J111" i="18"/>
  <c r="K111" i="18" s="1"/>
  <c r="J109" i="18"/>
  <c r="K109" i="18" s="1"/>
  <c r="J105" i="18"/>
  <c r="K105" i="18" s="1"/>
  <c r="J103" i="18"/>
  <c r="H46" i="16"/>
  <c r="H53" i="18" s="1"/>
  <c r="J53" i="18" s="1"/>
  <c r="E40" i="3"/>
  <c r="B42" i="5"/>
  <c r="E38" i="3"/>
  <c r="B40" i="5"/>
  <c r="B35" i="5"/>
  <c r="E33" i="3"/>
  <c r="E39" i="3"/>
  <c r="B41" i="5"/>
  <c r="E37" i="3"/>
  <c r="B39" i="5"/>
  <c r="E36" i="3"/>
  <c r="B38" i="5"/>
  <c r="E35" i="3"/>
  <c r="B37" i="5"/>
  <c r="E34" i="3"/>
  <c r="B36" i="5"/>
  <c r="E32" i="3"/>
  <c r="F40" i="3" s="1"/>
  <c r="F43" i="3" s="1"/>
  <c r="F45" i="3" s="1"/>
  <c r="B34" i="5"/>
  <c r="C17" i="5" l="1"/>
  <c r="D17" i="5" s="1"/>
  <c r="C19" i="5"/>
  <c r="D19" i="5" s="1"/>
  <c r="C23" i="5"/>
  <c r="D23" i="5" s="1"/>
  <c r="C20" i="5"/>
  <c r="D20" i="5" s="1"/>
  <c r="C37" i="5"/>
  <c r="C38" i="5"/>
  <c r="C39" i="5"/>
  <c r="C32" i="5"/>
  <c r="D32" i="5" s="1"/>
  <c r="C33" i="5"/>
  <c r="D33" i="5" s="1"/>
  <c r="C34" i="5"/>
  <c r="C35" i="5"/>
  <c r="C36" i="5"/>
  <c r="C40" i="5"/>
  <c r="C41" i="5"/>
  <c r="C42" i="5"/>
  <c r="C25" i="5"/>
  <c r="D25" i="5" s="1"/>
  <c r="C27" i="5"/>
  <c r="D27" i="5" s="1"/>
  <c r="C29" i="5"/>
  <c r="D29" i="5" s="1"/>
  <c r="C31" i="5"/>
  <c r="D31" i="5" s="1"/>
  <c r="C22" i="5"/>
  <c r="D22" i="5" s="1"/>
  <c r="C21" i="5"/>
  <c r="D21" i="5" s="1"/>
  <c r="C26" i="5"/>
  <c r="D26" i="5" s="1"/>
  <c r="C30" i="5"/>
  <c r="D30" i="5" s="1"/>
  <c r="C16" i="5"/>
  <c r="D16" i="5" s="1"/>
  <c r="C18" i="5"/>
  <c r="D18" i="5" s="1"/>
  <c r="C24" i="5"/>
  <c r="D24" i="5" s="1"/>
  <c r="C28" i="5"/>
  <c r="D28" i="5" s="1"/>
  <c r="C15" i="5"/>
  <c r="D15" i="5" s="1"/>
  <c r="K103" i="18"/>
  <c r="K121" i="18" s="1"/>
  <c r="J121" i="18"/>
  <c r="K125" i="18"/>
  <c r="J137" i="18"/>
  <c r="D34" i="5"/>
  <c r="D36" i="5"/>
  <c r="D37" i="5"/>
  <c r="D38" i="5"/>
  <c r="D39" i="5"/>
  <c r="D41" i="5"/>
  <c r="D40" i="5"/>
  <c r="D42" i="5"/>
  <c r="K53" i="18"/>
  <c r="K68" i="18" s="1"/>
  <c r="J68" i="18"/>
  <c r="D70" i="14"/>
  <c r="D28" i="14"/>
  <c r="D71" i="14"/>
  <c r="D72" i="14"/>
  <c r="D68" i="14"/>
  <c r="D69" i="14"/>
  <c r="S47" i="18"/>
  <c r="G98" i="18"/>
  <c r="G139" i="18" s="1"/>
  <c r="K126" i="18"/>
  <c r="G137" i="18"/>
  <c r="D139" i="15"/>
  <c r="S139" i="15"/>
  <c r="D139" i="12"/>
  <c r="O81" i="12"/>
  <c r="P81" i="12" s="1"/>
  <c r="S81" i="12"/>
  <c r="T81" i="12" s="1"/>
  <c r="U81" i="12" s="1"/>
  <c r="J82" i="12"/>
  <c r="K82" i="12" s="1"/>
  <c r="M82" i="12"/>
  <c r="K72" i="12"/>
  <c r="M73" i="12"/>
  <c r="J73" i="12"/>
  <c r="K73" i="12" s="1"/>
  <c r="O76" i="12"/>
  <c r="P76" i="12" s="1"/>
  <c r="S76" i="12"/>
  <c r="T76" i="12" s="1"/>
  <c r="U76" i="12" s="1"/>
  <c r="S91" i="12"/>
  <c r="T91" i="12" s="1"/>
  <c r="U91" i="12" s="1"/>
  <c r="O91" i="12"/>
  <c r="P91" i="12" s="1"/>
  <c r="O90" i="12"/>
  <c r="S90" i="12"/>
  <c r="M98" i="12"/>
  <c r="S107" i="12"/>
  <c r="T107" i="12" s="1"/>
  <c r="U107" i="12" s="1"/>
  <c r="O107" i="12"/>
  <c r="P107" i="12" s="1"/>
  <c r="S134" i="12"/>
  <c r="T134" i="12" s="1"/>
  <c r="U134" i="12" s="1"/>
  <c r="O134" i="12"/>
  <c r="P134" i="12" s="1"/>
  <c r="I47" i="12"/>
  <c r="M26" i="12"/>
  <c r="J26" i="12"/>
  <c r="M35" i="12"/>
  <c r="J35" i="12"/>
  <c r="J44" i="12"/>
  <c r="M44" i="12"/>
  <c r="D20" i="4"/>
  <c r="D19" i="4"/>
  <c r="D23" i="4"/>
  <c r="D26" i="4"/>
  <c r="D30" i="4"/>
  <c r="D34" i="4"/>
  <c r="D36" i="4"/>
  <c r="D38" i="4"/>
  <c r="D43" i="4"/>
  <c r="D45" i="4"/>
  <c r="D47" i="4"/>
  <c r="D51" i="4"/>
  <c r="D55" i="4"/>
  <c r="D73" i="4"/>
  <c r="D75" i="4"/>
  <c r="D77" i="4"/>
  <c r="D79" i="4"/>
  <c r="D84" i="4"/>
  <c r="D87" i="4"/>
  <c r="D103" i="4"/>
  <c r="D107" i="4"/>
  <c r="D109" i="4"/>
  <c r="D111" i="4"/>
  <c r="D117" i="4"/>
  <c r="D120" i="4"/>
  <c r="D27" i="4"/>
  <c r="D31" i="4"/>
  <c r="D54" i="4"/>
  <c r="D89" i="4"/>
  <c r="D94" i="4"/>
  <c r="D96" i="4"/>
  <c r="D99" i="4"/>
  <c r="D104" i="4"/>
  <c r="D123" i="4"/>
  <c r="D125" i="4"/>
  <c r="D18" i="4"/>
  <c r="D22" i="4"/>
  <c r="D17" i="4"/>
  <c r="D28" i="4"/>
  <c r="D33" i="4"/>
  <c r="D35" i="4"/>
  <c r="D37" i="4"/>
  <c r="D42" i="4"/>
  <c r="D44" i="4"/>
  <c r="D46" i="4"/>
  <c r="D48" i="4"/>
  <c r="D53" i="4"/>
  <c r="D58" i="4"/>
  <c r="D74" i="4"/>
  <c r="D76" i="4"/>
  <c r="D78" i="4"/>
  <c r="D83" i="4"/>
  <c r="D85" i="4"/>
  <c r="D101" i="4"/>
  <c r="D106" i="4"/>
  <c r="D108" i="4"/>
  <c r="D110" i="4"/>
  <c r="D116" i="4"/>
  <c r="D118" i="4"/>
  <c r="D21" i="4"/>
  <c r="D29" i="4"/>
  <c r="D52" i="4"/>
  <c r="D56" i="4"/>
  <c r="D93" i="4"/>
  <c r="D95" i="4"/>
  <c r="D97" i="4"/>
  <c r="D102" i="4"/>
  <c r="D122" i="4"/>
  <c r="D124" i="4"/>
  <c r="D126" i="4"/>
  <c r="J92" i="18"/>
  <c r="K92" i="18" s="1"/>
  <c r="J52" i="12"/>
  <c r="J68" i="12" s="1"/>
  <c r="M52" i="12"/>
  <c r="O55" i="12"/>
  <c r="P55" i="12" s="1"/>
  <c r="S55" i="12"/>
  <c r="T55" i="12" s="1"/>
  <c r="U55" i="12" s="1"/>
  <c r="J56" i="12"/>
  <c r="M56" i="12"/>
  <c r="O60" i="12"/>
  <c r="P60" i="12" s="1"/>
  <c r="S60" i="12"/>
  <c r="T60" i="12" s="1"/>
  <c r="U60" i="12" s="1"/>
  <c r="J61" i="12"/>
  <c r="M61" i="12"/>
  <c r="O64" i="12"/>
  <c r="P64" i="12" s="1"/>
  <c r="S64" i="12"/>
  <c r="T64" i="12" s="1"/>
  <c r="U64" i="12" s="1"/>
  <c r="J66" i="12"/>
  <c r="M66" i="12"/>
  <c r="O78" i="12"/>
  <c r="P78" i="12" s="1"/>
  <c r="S78" i="12"/>
  <c r="T78" i="12" s="1"/>
  <c r="U78" i="12" s="1"/>
  <c r="O79" i="12"/>
  <c r="P79" i="12" s="1"/>
  <c r="S79" i="12"/>
  <c r="T79" i="12" s="1"/>
  <c r="U79" i="12" s="1"/>
  <c r="M80" i="12"/>
  <c r="J80" i="12"/>
  <c r="K80" i="12" s="1"/>
  <c r="O83" i="12"/>
  <c r="P83" i="12" s="1"/>
  <c r="S83" i="12"/>
  <c r="T83" i="12" s="1"/>
  <c r="U83" i="12" s="1"/>
  <c r="M84" i="12"/>
  <c r="J84" i="12"/>
  <c r="K84" i="12" s="1"/>
  <c r="O74" i="12"/>
  <c r="P74" i="12" s="1"/>
  <c r="S74" i="12"/>
  <c r="T74" i="12" s="1"/>
  <c r="U74" i="12" s="1"/>
  <c r="J75" i="12"/>
  <c r="K75" i="12" s="1"/>
  <c r="M75" i="12"/>
  <c r="S92" i="12"/>
  <c r="T92" i="12" s="1"/>
  <c r="U92" i="12" s="1"/>
  <c r="O92" i="12"/>
  <c r="P92" i="12" s="1"/>
  <c r="G137" i="12"/>
  <c r="J131" i="12"/>
  <c r="K131" i="12" s="1"/>
  <c r="M131" i="12"/>
  <c r="O29" i="12"/>
  <c r="P29" i="12" s="1"/>
  <c r="S29" i="12"/>
  <c r="T29" i="12" s="1"/>
  <c r="U29" i="12" s="1"/>
  <c r="O31" i="12"/>
  <c r="P31" i="12" s="1"/>
  <c r="S31" i="12"/>
  <c r="T31" i="12" s="1"/>
  <c r="U31" i="12" s="1"/>
  <c r="O38" i="12"/>
  <c r="P38" i="12" s="1"/>
  <c r="S38" i="12"/>
  <c r="T38" i="12" s="1"/>
  <c r="U38" i="12" s="1"/>
  <c r="R76" i="18"/>
  <c r="T76" i="18" s="1"/>
  <c r="U76" i="18" s="1"/>
  <c r="N72" i="17"/>
  <c r="Q72" i="17" s="1"/>
  <c r="G72" i="17"/>
  <c r="N68" i="17"/>
  <c r="Q68" i="17" s="1"/>
  <c r="G68" i="17"/>
  <c r="R73" i="18"/>
  <c r="T73" i="18" s="1"/>
  <c r="U73" i="18" s="1"/>
  <c r="R74" i="18"/>
  <c r="T74" i="18" s="1"/>
  <c r="U74" i="18" s="1"/>
  <c r="N69" i="17"/>
  <c r="Q69" i="17" s="1"/>
  <c r="G69" i="17"/>
  <c r="G130" i="17"/>
  <c r="N130" i="17"/>
  <c r="Q130" i="17" s="1"/>
  <c r="R135" i="18"/>
  <c r="T135" i="18" s="1"/>
  <c r="U135" i="18" s="1"/>
  <c r="G126" i="17"/>
  <c r="N126" i="17"/>
  <c r="Q126" i="17" s="1"/>
  <c r="R131" i="18"/>
  <c r="T131" i="18" s="1"/>
  <c r="U131" i="18" s="1"/>
  <c r="R127" i="18"/>
  <c r="T127" i="18" s="1"/>
  <c r="U127" i="18" s="1"/>
  <c r="N120" i="17"/>
  <c r="R116" i="18"/>
  <c r="T116" i="18" s="1"/>
  <c r="U116" i="18" s="1"/>
  <c r="N112" i="17"/>
  <c r="Q112" i="17" s="1"/>
  <c r="G112" i="17"/>
  <c r="R111" i="18"/>
  <c r="T111" i="18" s="1"/>
  <c r="U111" i="18" s="1"/>
  <c r="N107" i="17"/>
  <c r="R105" i="18"/>
  <c r="T105" i="18" s="1"/>
  <c r="U105" i="18" s="1"/>
  <c r="N100" i="17"/>
  <c r="R92" i="18"/>
  <c r="N89" i="17"/>
  <c r="N82" i="17"/>
  <c r="Q82" i="17" s="1"/>
  <c r="G82" i="17"/>
  <c r="R83" i="18"/>
  <c r="T83" i="18" s="1"/>
  <c r="U83" i="18" s="1"/>
  <c r="N78" i="17"/>
  <c r="Q78" i="17" s="1"/>
  <c r="G78" i="17"/>
  <c r="R79" i="18"/>
  <c r="T79" i="18" s="1"/>
  <c r="U79" i="18" s="1"/>
  <c r="N59" i="17"/>
  <c r="R63" i="18"/>
  <c r="T63" i="18" s="1"/>
  <c r="U63" i="18" s="1"/>
  <c r="N55" i="17"/>
  <c r="R59" i="18"/>
  <c r="T59" i="18" s="1"/>
  <c r="U59" i="18" s="1"/>
  <c r="N49" i="17"/>
  <c r="R54" i="18"/>
  <c r="T54" i="18" s="1"/>
  <c r="U54" i="18" s="1"/>
  <c r="N42" i="17"/>
  <c r="Q42" i="17" s="1"/>
  <c r="G42" i="17"/>
  <c r="R45" i="18"/>
  <c r="T45" i="18" s="1"/>
  <c r="U45" i="18" s="1"/>
  <c r="N38" i="17"/>
  <c r="Q38" i="17" s="1"/>
  <c r="G38" i="17"/>
  <c r="R41" i="18"/>
  <c r="T41" i="18" s="1"/>
  <c r="U41" i="18" s="1"/>
  <c r="N33" i="17"/>
  <c r="R36" i="18"/>
  <c r="T36" i="18" s="1"/>
  <c r="U36" i="18" s="1"/>
  <c r="D15" i="17"/>
  <c r="R28" i="18"/>
  <c r="T28" i="18" s="1"/>
  <c r="U28" i="18" s="1"/>
  <c r="N25" i="17"/>
  <c r="R25" i="18"/>
  <c r="T25" i="18" s="1"/>
  <c r="U25" i="18" s="1"/>
  <c r="N22" i="17"/>
  <c r="R107" i="18"/>
  <c r="T107" i="18" s="1"/>
  <c r="U107" i="18" s="1"/>
  <c r="N103" i="17"/>
  <c r="Q103" i="17" s="1"/>
  <c r="G103" i="17"/>
  <c r="R132" i="18"/>
  <c r="T132" i="18" s="1"/>
  <c r="U132" i="18" s="1"/>
  <c r="N127" i="17"/>
  <c r="Q127" i="17" s="1"/>
  <c r="G127" i="17"/>
  <c r="R125" i="18"/>
  <c r="T125" i="18" s="1"/>
  <c r="N121" i="17"/>
  <c r="N113" i="17"/>
  <c r="Q113" i="17" s="1"/>
  <c r="R117" i="18"/>
  <c r="T117" i="18" s="1"/>
  <c r="U117" i="18" s="1"/>
  <c r="G113" i="17"/>
  <c r="N108" i="17"/>
  <c r="R112" i="18"/>
  <c r="T112" i="18" s="1"/>
  <c r="U112" i="18" s="1"/>
  <c r="N101" i="17"/>
  <c r="R106" i="18"/>
  <c r="T106" i="18" s="1"/>
  <c r="U106" i="18" s="1"/>
  <c r="N91" i="17"/>
  <c r="R94" i="18"/>
  <c r="T94" i="18" s="1"/>
  <c r="U94" i="18" s="1"/>
  <c r="N83" i="17"/>
  <c r="Q83" i="17" s="1"/>
  <c r="G83" i="17"/>
  <c r="R84" i="18"/>
  <c r="T84" i="18" s="1"/>
  <c r="U84" i="18" s="1"/>
  <c r="N79" i="17"/>
  <c r="Q79" i="17" s="1"/>
  <c r="G79" i="17"/>
  <c r="R81" i="18"/>
  <c r="T81" i="18" s="1"/>
  <c r="U81" i="18" s="1"/>
  <c r="N60" i="17"/>
  <c r="R64" i="18"/>
  <c r="T64" i="18" s="1"/>
  <c r="U64" i="18" s="1"/>
  <c r="N56" i="17"/>
  <c r="R60" i="18"/>
  <c r="T60" i="18" s="1"/>
  <c r="U60" i="18" s="1"/>
  <c r="N50" i="17"/>
  <c r="R55" i="18"/>
  <c r="T55" i="18" s="1"/>
  <c r="U55" i="18" s="1"/>
  <c r="N46" i="17"/>
  <c r="R51" i="18"/>
  <c r="T51" i="18" s="1"/>
  <c r="R42" i="18"/>
  <c r="T42" i="18" s="1"/>
  <c r="U42" i="18" s="1"/>
  <c r="N39" i="17"/>
  <c r="Q39" i="17" s="1"/>
  <c r="G39" i="17"/>
  <c r="R37" i="18"/>
  <c r="T37" i="18" s="1"/>
  <c r="U37" i="18" s="1"/>
  <c r="N34" i="17"/>
  <c r="R33" i="18"/>
  <c r="T33" i="18" s="1"/>
  <c r="U33" i="18" s="1"/>
  <c r="N30" i="17"/>
  <c r="R26" i="18"/>
  <c r="T26" i="18" s="1"/>
  <c r="U26" i="18" s="1"/>
  <c r="N23" i="17"/>
  <c r="N97" i="17"/>
  <c r="R102" i="18"/>
  <c r="T102" i="18" s="1"/>
  <c r="D35" i="5"/>
  <c r="M90" i="18"/>
  <c r="I98" i="18"/>
  <c r="O92" i="18"/>
  <c r="P92" i="18" s="1"/>
  <c r="S92" i="18"/>
  <c r="M126" i="18"/>
  <c r="I137" i="18"/>
  <c r="P102" i="18"/>
  <c r="P121" i="18" s="1"/>
  <c r="O121" i="18"/>
  <c r="K15" i="18"/>
  <c r="K19" i="18" s="1"/>
  <c r="J19" i="18"/>
  <c r="M86" i="12"/>
  <c r="O72" i="12"/>
  <c r="S72" i="12"/>
  <c r="G86" i="12"/>
  <c r="J102" i="12"/>
  <c r="I121" i="12"/>
  <c r="M102" i="12"/>
  <c r="O103" i="12"/>
  <c r="P103" i="12" s="1"/>
  <c r="S103" i="12"/>
  <c r="T103" i="12" s="1"/>
  <c r="U103" i="12" s="1"/>
  <c r="O129" i="12"/>
  <c r="P129" i="12" s="1"/>
  <c r="S129" i="12"/>
  <c r="T129" i="12" s="1"/>
  <c r="U129" i="12" s="1"/>
  <c r="S133" i="12"/>
  <c r="T133" i="12" s="1"/>
  <c r="U133" i="12" s="1"/>
  <c r="O133" i="12"/>
  <c r="P133" i="12" s="1"/>
  <c r="O135" i="12"/>
  <c r="P135" i="12" s="1"/>
  <c r="S135" i="12"/>
  <c r="T135" i="12" s="1"/>
  <c r="U135" i="12" s="1"/>
  <c r="M19" i="12"/>
  <c r="O14" i="12"/>
  <c r="S14" i="12"/>
  <c r="F139" i="12"/>
  <c r="G47" i="12"/>
  <c r="G139" i="12" s="1"/>
  <c r="K26" i="12"/>
  <c r="M30" i="12"/>
  <c r="J30" i="12"/>
  <c r="J47" i="12" s="1"/>
  <c r="K35" i="12"/>
  <c r="J40" i="12"/>
  <c r="K40" i="12" s="1"/>
  <c r="M40" i="12"/>
  <c r="K44" i="12"/>
  <c r="D24" i="4"/>
  <c r="D65" i="4"/>
  <c r="D67" i="4"/>
  <c r="D64" i="4"/>
  <c r="D66" i="4"/>
  <c r="D68" i="4"/>
  <c r="O51" i="12"/>
  <c r="M68" i="12"/>
  <c r="S51" i="12"/>
  <c r="K52" i="12"/>
  <c r="K68" i="12" s="1"/>
  <c r="K56" i="12"/>
  <c r="K61" i="12"/>
  <c r="K66" i="12"/>
  <c r="O94" i="12"/>
  <c r="P94" i="12" s="1"/>
  <c r="S94" i="12"/>
  <c r="T94" i="12" s="1"/>
  <c r="U94" i="12" s="1"/>
  <c r="M125" i="12"/>
  <c r="J125" i="12"/>
  <c r="J137" i="12" s="1"/>
  <c r="I137" i="12"/>
  <c r="O25" i="12"/>
  <c r="S25" i="12"/>
  <c r="O27" i="12"/>
  <c r="P27" i="12" s="1"/>
  <c r="S27" i="12"/>
  <c r="T27" i="12" s="1"/>
  <c r="U27" i="12" s="1"/>
  <c r="O34" i="12"/>
  <c r="P34" i="12" s="1"/>
  <c r="S34" i="12"/>
  <c r="T34" i="12" s="1"/>
  <c r="U34" i="12" s="1"/>
  <c r="M36" i="12"/>
  <c r="J36" i="12"/>
  <c r="K36" i="12" s="1"/>
  <c r="J41" i="12"/>
  <c r="K41" i="12" s="1"/>
  <c r="M41" i="12"/>
  <c r="O43" i="12"/>
  <c r="P43" i="12" s="1"/>
  <c r="S43" i="12"/>
  <c r="T43" i="12" s="1"/>
  <c r="U43" i="12" s="1"/>
  <c r="M45" i="12"/>
  <c r="J45" i="12"/>
  <c r="K45" i="12" s="1"/>
  <c r="K25" i="12"/>
  <c r="J91" i="12"/>
  <c r="J90" i="18"/>
  <c r="J98" i="18" s="1"/>
  <c r="R72" i="18"/>
  <c r="T72" i="18" s="1"/>
  <c r="N70" i="17"/>
  <c r="Q70" i="17" s="1"/>
  <c r="G70" i="17"/>
  <c r="R75" i="18"/>
  <c r="T75" i="18" s="1"/>
  <c r="U75" i="18" s="1"/>
  <c r="N71" i="17"/>
  <c r="Q71" i="17" s="1"/>
  <c r="G71" i="17"/>
  <c r="R31" i="18"/>
  <c r="T31" i="18" s="1"/>
  <c r="U31" i="18" s="1"/>
  <c r="N28" i="17"/>
  <c r="G128" i="17"/>
  <c r="N128" i="17"/>
  <c r="Q128" i="17" s="1"/>
  <c r="R133" i="18"/>
  <c r="T133" i="18" s="1"/>
  <c r="U133" i="18" s="1"/>
  <c r="R126" i="18"/>
  <c r="N122" i="17"/>
  <c r="R118" i="18"/>
  <c r="T118" i="18" s="1"/>
  <c r="U118" i="18" s="1"/>
  <c r="N114" i="17"/>
  <c r="Q114" i="17" s="1"/>
  <c r="G114" i="17"/>
  <c r="R114" i="18"/>
  <c r="T114" i="18" s="1"/>
  <c r="U114" i="18" s="1"/>
  <c r="N110" i="17"/>
  <c r="Q110" i="17" s="1"/>
  <c r="G110" i="17"/>
  <c r="R109" i="18"/>
  <c r="T109" i="18" s="1"/>
  <c r="U109" i="18" s="1"/>
  <c r="N105" i="17"/>
  <c r="G93" i="17"/>
  <c r="N93" i="17"/>
  <c r="Q93" i="17" s="1"/>
  <c r="R96" i="18"/>
  <c r="T96" i="18" s="1"/>
  <c r="U96" i="18" s="1"/>
  <c r="R90" i="18"/>
  <c r="N87" i="17"/>
  <c r="N80" i="17"/>
  <c r="Q80" i="17" s="1"/>
  <c r="G80" i="17"/>
  <c r="R80" i="18"/>
  <c r="T80" i="18" s="1"/>
  <c r="U80" i="18" s="1"/>
  <c r="N62" i="17"/>
  <c r="Q62" i="17" s="1"/>
  <c r="R66" i="18"/>
  <c r="T66" i="18" s="1"/>
  <c r="U66" i="18" s="1"/>
  <c r="G62" i="17"/>
  <c r="N57" i="17"/>
  <c r="R61" i="18"/>
  <c r="T61" i="18" s="1"/>
  <c r="U61" i="18" s="1"/>
  <c r="N51" i="17"/>
  <c r="R56" i="18"/>
  <c r="T56" i="18" s="1"/>
  <c r="U56" i="18" s="1"/>
  <c r="N47" i="17"/>
  <c r="R52" i="18"/>
  <c r="T52" i="18" s="1"/>
  <c r="U52" i="18" s="1"/>
  <c r="N40" i="17"/>
  <c r="Q40" i="17" s="1"/>
  <c r="G40" i="17"/>
  <c r="R43" i="18"/>
  <c r="T43" i="18" s="1"/>
  <c r="U43" i="18" s="1"/>
  <c r="N35" i="17"/>
  <c r="R38" i="18"/>
  <c r="T38" i="18" s="1"/>
  <c r="U38" i="18" s="1"/>
  <c r="N31" i="17"/>
  <c r="R34" i="18"/>
  <c r="T34" i="18" s="1"/>
  <c r="U34" i="18" s="1"/>
  <c r="R29" i="18"/>
  <c r="T29" i="18" s="1"/>
  <c r="U29" i="18" s="1"/>
  <c r="N26" i="17"/>
  <c r="N24" i="17"/>
  <c r="R27" i="18"/>
  <c r="T27" i="18" s="1"/>
  <c r="U27" i="18" s="1"/>
  <c r="D17" i="17"/>
  <c r="D14" i="17"/>
  <c r="R134" i="18"/>
  <c r="T134" i="18" s="1"/>
  <c r="U134" i="18" s="1"/>
  <c r="N129" i="17"/>
  <c r="Q129" i="17" s="1"/>
  <c r="G129" i="17"/>
  <c r="R129" i="18"/>
  <c r="T129" i="18" s="1"/>
  <c r="U129" i="18" s="1"/>
  <c r="N124" i="17"/>
  <c r="N115" i="17"/>
  <c r="Q115" i="17" s="1"/>
  <c r="G115" i="17"/>
  <c r="R119" i="18"/>
  <c r="T119" i="18" s="1"/>
  <c r="U119" i="18" s="1"/>
  <c r="N111" i="17"/>
  <c r="Q111" i="17" s="1"/>
  <c r="G111" i="17"/>
  <c r="R115" i="18"/>
  <c r="T115" i="18" s="1"/>
  <c r="U115" i="18" s="1"/>
  <c r="N106" i="17"/>
  <c r="R110" i="18"/>
  <c r="T110" i="18" s="1"/>
  <c r="U110" i="18" s="1"/>
  <c r="N99" i="17"/>
  <c r="R104" i="18"/>
  <c r="T104" i="18" s="1"/>
  <c r="U104" i="18" s="1"/>
  <c r="N88" i="17"/>
  <c r="R91" i="18"/>
  <c r="T91" i="18" s="1"/>
  <c r="U91" i="18" s="1"/>
  <c r="N81" i="17"/>
  <c r="Q81" i="17" s="1"/>
  <c r="R82" i="18"/>
  <c r="T82" i="18" s="1"/>
  <c r="U82" i="18" s="1"/>
  <c r="G81" i="17"/>
  <c r="N77" i="17"/>
  <c r="Q77" i="17" s="1"/>
  <c r="R78" i="18"/>
  <c r="T78" i="18" s="1"/>
  <c r="U78" i="18" s="1"/>
  <c r="G77" i="17"/>
  <c r="N58" i="17"/>
  <c r="R62" i="18"/>
  <c r="T62" i="18" s="1"/>
  <c r="U62" i="18" s="1"/>
  <c r="N52" i="17"/>
  <c r="R57" i="18"/>
  <c r="T57" i="18" s="1"/>
  <c r="U57" i="18" s="1"/>
  <c r="N48" i="17"/>
  <c r="R53" i="18"/>
  <c r="T53" i="18" s="1"/>
  <c r="U53" i="18" s="1"/>
  <c r="G41" i="17"/>
  <c r="N41" i="17"/>
  <c r="Q41" i="17" s="1"/>
  <c r="R44" i="18"/>
  <c r="T44" i="18" s="1"/>
  <c r="U44" i="18" s="1"/>
  <c r="G37" i="17"/>
  <c r="N37" i="17"/>
  <c r="Q37" i="17" s="1"/>
  <c r="R40" i="18"/>
  <c r="T40" i="18" s="1"/>
  <c r="U40" i="18" s="1"/>
  <c r="R35" i="18"/>
  <c r="T35" i="18" s="1"/>
  <c r="U35" i="18" s="1"/>
  <c r="N32" i="17"/>
  <c r="R30" i="18"/>
  <c r="T30" i="18" s="1"/>
  <c r="U30" i="18" s="1"/>
  <c r="N27" i="17"/>
  <c r="R24" i="18"/>
  <c r="T24" i="18" s="1"/>
  <c r="N21" i="17"/>
  <c r="R103" i="18"/>
  <c r="T103" i="18" s="1"/>
  <c r="U103" i="18" s="1"/>
  <c r="N98" i="17"/>
  <c r="G14" i="2"/>
  <c r="H14" i="2" s="1"/>
  <c r="G17" i="2"/>
  <c r="H17" i="2" s="1"/>
  <c r="G19" i="2"/>
  <c r="H19" i="2" s="1"/>
  <c r="G12" i="2"/>
  <c r="H12" i="2" s="1"/>
  <c r="G13" i="2"/>
  <c r="H13" i="2" s="1"/>
  <c r="G20" i="2"/>
  <c r="H20" i="2" s="1"/>
  <c r="G15" i="2"/>
  <c r="H15" i="2" s="1"/>
  <c r="G18" i="2"/>
  <c r="H18" i="2" s="1"/>
  <c r="G16" i="2"/>
  <c r="H16" i="2" s="1"/>
  <c r="E30" i="14" l="1"/>
  <c r="G30" i="14" s="1"/>
  <c r="E22" i="14"/>
  <c r="E22" i="17"/>
  <c r="E18" i="4"/>
  <c r="O18" i="4" s="1"/>
  <c r="E30" i="17"/>
  <c r="E26" i="4"/>
  <c r="O26" i="4" s="1"/>
  <c r="E46" i="14"/>
  <c r="E48" i="14"/>
  <c r="E50" i="14"/>
  <c r="E52" i="14"/>
  <c r="E56" i="14"/>
  <c r="G56" i="14" s="1"/>
  <c r="E58" i="14"/>
  <c r="G58" i="14" s="1"/>
  <c r="E60" i="14"/>
  <c r="G60" i="14" s="1"/>
  <c r="E47" i="14"/>
  <c r="E49" i="14"/>
  <c r="E51" i="14"/>
  <c r="E55" i="14"/>
  <c r="G55" i="14" s="1"/>
  <c r="E57" i="14"/>
  <c r="G57" i="14" s="1"/>
  <c r="E59" i="14"/>
  <c r="G59" i="14" s="1"/>
  <c r="E46" i="17"/>
  <c r="E48" i="17"/>
  <c r="E50" i="17"/>
  <c r="E52" i="17"/>
  <c r="E56" i="17"/>
  <c r="E60" i="17"/>
  <c r="E59" i="17"/>
  <c r="E54" i="4"/>
  <c r="O54" i="4" s="1"/>
  <c r="E42" i="4"/>
  <c r="O42" i="4" s="1"/>
  <c r="E44" i="4"/>
  <c r="O44" i="4" s="1"/>
  <c r="E46" i="4"/>
  <c r="O46" i="4" s="1"/>
  <c r="E48" i="4"/>
  <c r="O48" i="4" s="1"/>
  <c r="E53" i="4"/>
  <c r="O53" i="4" s="1"/>
  <c r="E47" i="17"/>
  <c r="E49" i="17"/>
  <c r="E51" i="17"/>
  <c r="E55" i="17"/>
  <c r="E58" i="17"/>
  <c r="E57" i="17"/>
  <c r="E52" i="4"/>
  <c r="O52" i="4" s="1"/>
  <c r="E56" i="4"/>
  <c r="O56" i="4" s="1"/>
  <c r="E43" i="4"/>
  <c r="O43" i="4" s="1"/>
  <c r="E45" i="4"/>
  <c r="O45" i="4" s="1"/>
  <c r="E47" i="4"/>
  <c r="O47" i="4" s="1"/>
  <c r="E51" i="4"/>
  <c r="O51" i="4" s="1"/>
  <c r="E55" i="4"/>
  <c r="O55" i="4" s="1"/>
  <c r="E121" i="14"/>
  <c r="E121" i="17"/>
  <c r="E117" i="4"/>
  <c r="O117" i="4" s="1"/>
  <c r="E88" i="14"/>
  <c r="E91" i="14"/>
  <c r="G91" i="14" s="1"/>
  <c r="E87" i="14"/>
  <c r="E89" i="14"/>
  <c r="E87" i="17"/>
  <c r="E89" i="17"/>
  <c r="E83" i="4"/>
  <c r="O83" i="4" s="1"/>
  <c r="E85" i="4"/>
  <c r="O85" i="4" s="1"/>
  <c r="E88" i="17"/>
  <c r="E91" i="17"/>
  <c r="E84" i="4"/>
  <c r="O84" i="4" s="1"/>
  <c r="E87" i="4"/>
  <c r="O87" i="4" s="1"/>
  <c r="E24" i="14"/>
  <c r="E26" i="14"/>
  <c r="E28" i="14"/>
  <c r="E31" i="14"/>
  <c r="G31" i="14" s="1"/>
  <c r="E33" i="14"/>
  <c r="G33" i="14" s="1"/>
  <c r="E35" i="14"/>
  <c r="G35" i="14" s="1"/>
  <c r="E24" i="17"/>
  <c r="E21" i="17"/>
  <c r="E26" i="17"/>
  <c r="E28" i="17"/>
  <c r="E32" i="17"/>
  <c r="E34" i="17"/>
  <c r="E20" i="4"/>
  <c r="E19" i="4"/>
  <c r="O19" i="4" s="1"/>
  <c r="E23" i="4"/>
  <c r="O23" i="4" s="1"/>
  <c r="E29" i="4"/>
  <c r="O29" i="4" s="1"/>
  <c r="E21" i="4"/>
  <c r="E28" i="4"/>
  <c r="O28" i="4" s="1"/>
  <c r="E21" i="14"/>
  <c r="E23" i="14"/>
  <c r="E27" i="14"/>
  <c r="E32" i="14"/>
  <c r="G32" i="14" s="1"/>
  <c r="E34" i="14"/>
  <c r="G34" i="14" s="1"/>
  <c r="E25" i="14"/>
  <c r="E25" i="17"/>
  <c r="E23" i="17"/>
  <c r="E27" i="17"/>
  <c r="E31" i="17"/>
  <c r="E33" i="17"/>
  <c r="E35" i="17"/>
  <c r="E17" i="4"/>
  <c r="O17" i="4" s="1"/>
  <c r="E22" i="4"/>
  <c r="O22" i="4" s="1"/>
  <c r="E27" i="4"/>
  <c r="O27" i="4" s="1"/>
  <c r="E31" i="4"/>
  <c r="O31" i="4" s="1"/>
  <c r="E24" i="4"/>
  <c r="O24" i="4" s="1"/>
  <c r="E30" i="4"/>
  <c r="O30" i="4" s="1"/>
  <c r="E120" i="14"/>
  <c r="E124" i="14"/>
  <c r="G124" i="14" s="1"/>
  <c r="E120" i="17"/>
  <c r="E116" i="4"/>
  <c r="O116" i="4" s="1"/>
  <c r="E124" i="17"/>
  <c r="E120" i="4"/>
  <c r="O120" i="4" s="1"/>
  <c r="J37" i="17"/>
  <c r="H37" i="17"/>
  <c r="L37" i="17"/>
  <c r="L81" i="17"/>
  <c r="H81" i="17"/>
  <c r="J81" i="17"/>
  <c r="J115" i="17"/>
  <c r="H115" i="17"/>
  <c r="L115" i="17"/>
  <c r="R14" i="18"/>
  <c r="T14" i="18" s="1"/>
  <c r="N14" i="17"/>
  <c r="H62" i="17"/>
  <c r="J62" i="17"/>
  <c r="L62" i="17"/>
  <c r="J80" i="17"/>
  <c r="H80" i="17"/>
  <c r="L80" i="17"/>
  <c r="J114" i="17"/>
  <c r="H114" i="17"/>
  <c r="L114" i="17"/>
  <c r="H128" i="17"/>
  <c r="L128" i="17"/>
  <c r="J128" i="17"/>
  <c r="L71" i="17"/>
  <c r="H71" i="17"/>
  <c r="J71" i="17"/>
  <c r="O45" i="12"/>
  <c r="P45" i="12" s="1"/>
  <c r="S45" i="12"/>
  <c r="T45" i="12" s="1"/>
  <c r="U45" i="12" s="1"/>
  <c r="O36" i="12"/>
  <c r="P36" i="12" s="1"/>
  <c r="S36" i="12"/>
  <c r="T36" i="12" s="1"/>
  <c r="U36" i="12" s="1"/>
  <c r="M47" i="12"/>
  <c r="O125" i="12"/>
  <c r="S125" i="12"/>
  <c r="M137" i="12"/>
  <c r="N68" i="4"/>
  <c r="Q68" i="4" s="1"/>
  <c r="G68" i="4"/>
  <c r="N64" i="4"/>
  <c r="Q64" i="4" s="1"/>
  <c r="G64" i="4"/>
  <c r="N65" i="4"/>
  <c r="Q65" i="4" s="1"/>
  <c r="G65" i="4"/>
  <c r="O40" i="12"/>
  <c r="P40" i="12" s="1"/>
  <c r="S40" i="12"/>
  <c r="T40" i="12" s="1"/>
  <c r="U40" i="12" s="1"/>
  <c r="O30" i="12"/>
  <c r="P30" i="12" s="1"/>
  <c r="S30" i="12"/>
  <c r="T30" i="12" s="1"/>
  <c r="U30" i="12" s="1"/>
  <c r="T14" i="12"/>
  <c r="S19" i="12"/>
  <c r="T72" i="12"/>
  <c r="J139" i="18"/>
  <c r="O126" i="18"/>
  <c r="M137" i="18"/>
  <c r="S126" i="18"/>
  <c r="S137" i="18" s="1"/>
  <c r="O90" i="18"/>
  <c r="S90" i="18"/>
  <c r="S98" i="18" s="1"/>
  <c r="M98" i="18"/>
  <c r="M139" i="18" s="1"/>
  <c r="E35" i="5"/>
  <c r="F35" i="5"/>
  <c r="U102" i="18"/>
  <c r="U121" i="18" s="1"/>
  <c r="T121" i="18"/>
  <c r="H83" i="17"/>
  <c r="J83" i="17"/>
  <c r="L83" i="17"/>
  <c r="U125" i="18"/>
  <c r="L103" i="17"/>
  <c r="J103" i="17"/>
  <c r="H103" i="17"/>
  <c r="H38" i="17"/>
  <c r="J38" i="17"/>
  <c r="L38" i="17"/>
  <c r="J82" i="17"/>
  <c r="H82" i="17"/>
  <c r="L82" i="17"/>
  <c r="T92" i="18"/>
  <c r="U92" i="18" s="1"/>
  <c r="L130" i="17"/>
  <c r="J130" i="17"/>
  <c r="H130" i="17"/>
  <c r="S131" i="12"/>
  <c r="T131" i="12" s="1"/>
  <c r="U131" i="12" s="1"/>
  <c r="O131" i="12"/>
  <c r="P131" i="12" s="1"/>
  <c r="K125" i="12"/>
  <c r="K137" i="12" s="1"/>
  <c r="S75" i="12"/>
  <c r="T75" i="12" s="1"/>
  <c r="U75" i="12" s="1"/>
  <c r="O75" i="12"/>
  <c r="P75" i="12" s="1"/>
  <c r="S66" i="12"/>
  <c r="T66" i="12" s="1"/>
  <c r="U66" i="12" s="1"/>
  <c r="O66" i="12"/>
  <c r="P66" i="12" s="1"/>
  <c r="S61" i="12"/>
  <c r="T61" i="12" s="1"/>
  <c r="U61" i="12" s="1"/>
  <c r="O61" i="12"/>
  <c r="P61" i="12" s="1"/>
  <c r="S56" i="12"/>
  <c r="T56" i="12" s="1"/>
  <c r="U56" i="12" s="1"/>
  <c r="O56" i="12"/>
  <c r="P56" i="12" s="1"/>
  <c r="S52" i="12"/>
  <c r="T52" i="12" s="1"/>
  <c r="U52" i="12" s="1"/>
  <c r="O52" i="12"/>
  <c r="P52" i="12" s="1"/>
  <c r="N126" i="4"/>
  <c r="Q126" i="4" s="1"/>
  <c r="G126" i="4"/>
  <c r="N122" i="4"/>
  <c r="Q122" i="4" s="1"/>
  <c r="G122" i="4"/>
  <c r="N97" i="4"/>
  <c r="N93" i="4"/>
  <c r="N52" i="4"/>
  <c r="Q52" i="4" s="1"/>
  <c r="G52" i="4"/>
  <c r="D11" i="4"/>
  <c r="N21" i="4"/>
  <c r="N116" i="4"/>
  <c r="N108" i="4"/>
  <c r="Q108" i="4" s="1"/>
  <c r="G108" i="4"/>
  <c r="N101" i="4"/>
  <c r="N83" i="4"/>
  <c r="N76" i="4"/>
  <c r="Q76" i="4" s="1"/>
  <c r="G76" i="4"/>
  <c r="N58" i="4"/>
  <c r="Q58" i="4" s="1"/>
  <c r="G58" i="4"/>
  <c r="N48" i="4"/>
  <c r="N44" i="4"/>
  <c r="N37" i="4"/>
  <c r="Q37" i="4" s="1"/>
  <c r="G37" i="4"/>
  <c r="N33" i="4"/>
  <c r="Q33" i="4" s="1"/>
  <c r="G33" i="4"/>
  <c r="N17" i="4"/>
  <c r="D13" i="4"/>
  <c r="N18" i="4"/>
  <c r="N123" i="4"/>
  <c r="Q123" i="4" s="1"/>
  <c r="G123" i="4"/>
  <c r="N99" i="4"/>
  <c r="N94" i="4"/>
  <c r="N54" i="4"/>
  <c r="Q54" i="4" s="1"/>
  <c r="G54" i="4"/>
  <c r="N27" i="4"/>
  <c r="Q27" i="4" s="1"/>
  <c r="G27" i="4"/>
  <c r="N117" i="4"/>
  <c r="N109" i="4"/>
  <c r="Q109" i="4" s="1"/>
  <c r="G109" i="4"/>
  <c r="N103" i="4"/>
  <c r="N84" i="4"/>
  <c r="N77" i="4"/>
  <c r="Q77" i="4" s="1"/>
  <c r="G77" i="4"/>
  <c r="N73" i="4"/>
  <c r="Q73" i="4" s="1"/>
  <c r="G73" i="4"/>
  <c r="N51" i="4"/>
  <c r="Q51" i="4" s="1"/>
  <c r="G51" i="4"/>
  <c r="N45" i="4"/>
  <c r="N38" i="4"/>
  <c r="Q38" i="4" s="1"/>
  <c r="G38" i="4"/>
  <c r="N34" i="4"/>
  <c r="Q34" i="4" s="1"/>
  <c r="G34" i="4"/>
  <c r="N26" i="4"/>
  <c r="Q26" i="4" s="1"/>
  <c r="G26" i="4"/>
  <c r="N19" i="4"/>
  <c r="K30" i="12"/>
  <c r="K47" i="12" s="1"/>
  <c r="K139" i="12" s="1"/>
  <c r="K141" i="15" s="1"/>
  <c r="S26" i="12"/>
  <c r="T26" i="12" s="1"/>
  <c r="U26" i="12" s="1"/>
  <c r="O26" i="12"/>
  <c r="P26" i="12" s="1"/>
  <c r="T90" i="12"/>
  <c r="S98" i="12"/>
  <c r="K86" i="12"/>
  <c r="S82" i="12"/>
  <c r="T82" i="12" s="1"/>
  <c r="U82" i="12" s="1"/>
  <c r="O82" i="12"/>
  <c r="P82" i="12" s="1"/>
  <c r="G68" i="14"/>
  <c r="R73" i="15"/>
  <c r="T73" i="15" s="1"/>
  <c r="U73" i="15" s="1"/>
  <c r="R75" i="15"/>
  <c r="T75" i="15" s="1"/>
  <c r="U75" i="15" s="1"/>
  <c r="G71" i="14"/>
  <c r="G70" i="14"/>
  <c r="R72" i="15"/>
  <c r="T72" i="15" s="1"/>
  <c r="E40" i="5"/>
  <c r="F40" i="5"/>
  <c r="E39" i="5"/>
  <c r="F39" i="5"/>
  <c r="E37" i="5"/>
  <c r="F37" i="5"/>
  <c r="F34" i="5"/>
  <c r="E34" i="5"/>
  <c r="G34" i="5" s="1"/>
  <c r="H34" i="5" s="1"/>
  <c r="K137" i="18"/>
  <c r="F28" i="5"/>
  <c r="E28" i="5"/>
  <c r="F18" i="5"/>
  <c r="E18" i="5"/>
  <c r="F30" i="5"/>
  <c r="E30" i="5"/>
  <c r="E21" i="5"/>
  <c r="G21" i="5" s="1"/>
  <c r="H21" i="5" s="1"/>
  <c r="F21" i="5"/>
  <c r="E31" i="5"/>
  <c r="G31" i="5" s="1"/>
  <c r="H31" i="5" s="1"/>
  <c r="F31" i="5"/>
  <c r="F27" i="5"/>
  <c r="E27" i="5"/>
  <c r="E33" i="5"/>
  <c r="G33" i="5" s="1"/>
  <c r="H33" i="5" s="1"/>
  <c r="F33" i="5"/>
  <c r="F23" i="5"/>
  <c r="E23" i="5"/>
  <c r="E17" i="5"/>
  <c r="G17" i="5" s="1"/>
  <c r="H17" i="5" s="1"/>
  <c r="F17" i="5"/>
  <c r="E100" i="17"/>
  <c r="E107" i="17"/>
  <c r="E99" i="17"/>
  <c r="E106" i="17"/>
  <c r="E93" i="4"/>
  <c r="O93" i="4" s="1"/>
  <c r="E95" i="4"/>
  <c r="O95" i="4" s="1"/>
  <c r="E97" i="4"/>
  <c r="O97" i="4" s="1"/>
  <c r="E102" i="4"/>
  <c r="O102" i="4" s="1"/>
  <c r="E101" i="4"/>
  <c r="O101" i="4" s="1"/>
  <c r="E98" i="14"/>
  <c r="E100" i="14"/>
  <c r="E105" i="14"/>
  <c r="G105" i="14" s="1"/>
  <c r="E107" i="14"/>
  <c r="G107" i="14" s="1"/>
  <c r="E97" i="14"/>
  <c r="E99" i="14"/>
  <c r="E101" i="14"/>
  <c r="E106" i="14"/>
  <c r="G106" i="14" s="1"/>
  <c r="E108" i="14"/>
  <c r="G108" i="14" s="1"/>
  <c r="E98" i="17"/>
  <c r="E105" i="17"/>
  <c r="E97" i="17"/>
  <c r="E101" i="17"/>
  <c r="E108" i="17"/>
  <c r="E94" i="4"/>
  <c r="O94" i="4" s="1"/>
  <c r="E96" i="4"/>
  <c r="O96" i="4" s="1"/>
  <c r="E99" i="4"/>
  <c r="O99" i="4" s="1"/>
  <c r="E104" i="4"/>
  <c r="O104" i="4" s="1"/>
  <c r="E103" i="4"/>
  <c r="O103" i="4" s="1"/>
  <c r="E122" i="14"/>
  <c r="E122" i="17"/>
  <c r="E118" i="4"/>
  <c r="O118" i="4" s="1"/>
  <c r="U24" i="18"/>
  <c r="U47" i="18" s="1"/>
  <c r="T47" i="18"/>
  <c r="J41" i="17"/>
  <c r="H41" i="17"/>
  <c r="L41" i="17"/>
  <c r="J77" i="17"/>
  <c r="L77" i="17"/>
  <c r="H77" i="17"/>
  <c r="H111" i="17"/>
  <c r="L111" i="17"/>
  <c r="J111" i="17"/>
  <c r="J129" i="17"/>
  <c r="H129" i="17"/>
  <c r="L129" i="17"/>
  <c r="N17" i="17"/>
  <c r="Q17" i="17" s="1"/>
  <c r="R17" i="18"/>
  <c r="T17" i="18" s="1"/>
  <c r="U17" i="18" s="1"/>
  <c r="G17" i="17"/>
  <c r="H40" i="17"/>
  <c r="J40" i="17"/>
  <c r="L40" i="17"/>
  <c r="J93" i="17"/>
  <c r="H93" i="17"/>
  <c r="L93" i="17"/>
  <c r="J110" i="17"/>
  <c r="H110" i="17"/>
  <c r="L110" i="17"/>
  <c r="T126" i="18"/>
  <c r="U126" i="18" s="1"/>
  <c r="L70" i="17"/>
  <c r="H70" i="17"/>
  <c r="J70" i="17"/>
  <c r="U72" i="18"/>
  <c r="U86" i="18" s="1"/>
  <c r="T86" i="18"/>
  <c r="K91" i="12"/>
  <c r="K98" i="12" s="1"/>
  <c r="J98" i="12"/>
  <c r="O41" i="12"/>
  <c r="P41" i="12" s="1"/>
  <c r="S41" i="12"/>
  <c r="T41" i="12" s="1"/>
  <c r="U41" i="12" s="1"/>
  <c r="T25" i="12"/>
  <c r="U25" i="12" s="1"/>
  <c r="P25" i="12"/>
  <c r="T51" i="12"/>
  <c r="S68" i="12"/>
  <c r="O68" i="12"/>
  <c r="P51" i="12"/>
  <c r="P68" i="12" s="1"/>
  <c r="N66" i="4"/>
  <c r="Q66" i="4" s="1"/>
  <c r="G66" i="4"/>
  <c r="N67" i="4"/>
  <c r="Q67" i="4" s="1"/>
  <c r="G67" i="4"/>
  <c r="N24" i="4"/>
  <c r="O19" i="12"/>
  <c r="P14" i="12"/>
  <c r="P19" i="12" s="1"/>
  <c r="S102" i="12"/>
  <c r="M121" i="12"/>
  <c r="M139" i="12" s="1"/>
  <c r="O102" i="12"/>
  <c r="J121" i="12"/>
  <c r="K102" i="12"/>
  <c r="K121" i="12" s="1"/>
  <c r="P72" i="12"/>
  <c r="I139" i="18"/>
  <c r="L39" i="17"/>
  <c r="J39" i="17"/>
  <c r="H39" i="17"/>
  <c r="T68" i="18"/>
  <c r="U51" i="18"/>
  <c r="U68" i="18" s="1"/>
  <c r="L79" i="17"/>
  <c r="J79" i="17"/>
  <c r="H79" i="17"/>
  <c r="H113" i="17"/>
  <c r="J113" i="17"/>
  <c r="L113" i="17"/>
  <c r="J127" i="17"/>
  <c r="H127" i="17"/>
  <c r="L127" i="17"/>
  <c r="N15" i="17"/>
  <c r="R15" i="18"/>
  <c r="T15" i="18" s="1"/>
  <c r="U15" i="18" s="1"/>
  <c r="L42" i="17"/>
  <c r="H42" i="17"/>
  <c r="J42" i="17"/>
  <c r="J78" i="17"/>
  <c r="H78" i="17"/>
  <c r="L78" i="17"/>
  <c r="H112" i="17"/>
  <c r="L112" i="17"/>
  <c r="J112" i="17"/>
  <c r="H126" i="17"/>
  <c r="L126" i="17"/>
  <c r="J126" i="17"/>
  <c r="L69" i="17"/>
  <c r="H69" i="17"/>
  <c r="J69" i="17"/>
  <c r="L68" i="17"/>
  <c r="L73" i="17" s="1"/>
  <c r="H68" i="17"/>
  <c r="J68" i="17"/>
  <c r="L72" i="17"/>
  <c r="H72" i="17"/>
  <c r="J72" i="17"/>
  <c r="S84" i="12"/>
  <c r="T84" i="12" s="1"/>
  <c r="U84" i="12" s="1"/>
  <c r="O84" i="12"/>
  <c r="P84" i="12" s="1"/>
  <c r="S80" i="12"/>
  <c r="T80" i="12" s="1"/>
  <c r="U80" i="12" s="1"/>
  <c r="O80" i="12"/>
  <c r="P80" i="12" s="1"/>
  <c r="N124" i="4"/>
  <c r="Q124" i="4" s="1"/>
  <c r="G124" i="4"/>
  <c r="N102" i="4"/>
  <c r="Q102" i="4" s="1"/>
  <c r="G102" i="4"/>
  <c r="N95" i="4"/>
  <c r="N56" i="4"/>
  <c r="Q56" i="4" s="1"/>
  <c r="G56" i="4"/>
  <c r="N29" i="4"/>
  <c r="Q29" i="4" s="1"/>
  <c r="G29" i="4"/>
  <c r="N118" i="4"/>
  <c r="N110" i="4"/>
  <c r="Q110" i="4" s="1"/>
  <c r="G110" i="4"/>
  <c r="N106" i="4"/>
  <c r="Q106" i="4" s="1"/>
  <c r="G106" i="4"/>
  <c r="N85" i="4"/>
  <c r="N78" i="4"/>
  <c r="Q78" i="4" s="1"/>
  <c r="G78" i="4"/>
  <c r="N74" i="4"/>
  <c r="Q74" i="4" s="1"/>
  <c r="G74" i="4"/>
  <c r="N53" i="4"/>
  <c r="Q53" i="4" s="1"/>
  <c r="G53" i="4"/>
  <c r="N46" i="4"/>
  <c r="N42" i="4"/>
  <c r="N35" i="4"/>
  <c r="Q35" i="4" s="1"/>
  <c r="G35" i="4"/>
  <c r="N28" i="4"/>
  <c r="Q28" i="4" s="1"/>
  <c r="G28" i="4"/>
  <c r="N22" i="4"/>
  <c r="N125" i="4"/>
  <c r="Q125" i="4" s="1"/>
  <c r="G125" i="4"/>
  <c r="N104" i="4"/>
  <c r="Q104" i="4" s="1"/>
  <c r="G104" i="4"/>
  <c r="N96" i="4"/>
  <c r="N89" i="4"/>
  <c r="Q89" i="4" s="1"/>
  <c r="G89" i="4"/>
  <c r="N31" i="4"/>
  <c r="Q31" i="4" s="1"/>
  <c r="G31" i="4"/>
  <c r="N120" i="4"/>
  <c r="Q120" i="4" s="1"/>
  <c r="G120" i="4"/>
  <c r="N111" i="4"/>
  <c r="Q111" i="4" s="1"/>
  <c r="G111" i="4"/>
  <c r="N107" i="4"/>
  <c r="Q107" i="4" s="1"/>
  <c r="G107" i="4"/>
  <c r="N87" i="4"/>
  <c r="Q87" i="4" s="1"/>
  <c r="G87" i="4"/>
  <c r="N79" i="4"/>
  <c r="Q79" i="4" s="1"/>
  <c r="G79" i="4"/>
  <c r="N75" i="4"/>
  <c r="Q75" i="4" s="1"/>
  <c r="G75" i="4"/>
  <c r="N55" i="4"/>
  <c r="Q55" i="4" s="1"/>
  <c r="G55" i="4"/>
  <c r="N47" i="4"/>
  <c r="N43" i="4"/>
  <c r="N36" i="4"/>
  <c r="Q36" i="4" s="1"/>
  <c r="G36" i="4"/>
  <c r="N30" i="4"/>
  <c r="Q30" i="4" s="1"/>
  <c r="G30" i="4"/>
  <c r="N23" i="4"/>
  <c r="D10" i="4"/>
  <c r="N20" i="4"/>
  <c r="S44" i="12"/>
  <c r="T44" i="12" s="1"/>
  <c r="U44" i="12" s="1"/>
  <c r="O44" i="12"/>
  <c r="P44" i="12" s="1"/>
  <c r="S35" i="12"/>
  <c r="T35" i="12" s="1"/>
  <c r="U35" i="12" s="1"/>
  <c r="O35" i="12"/>
  <c r="P35" i="12" s="1"/>
  <c r="I139" i="12"/>
  <c r="P90" i="12"/>
  <c r="P98" i="12" s="1"/>
  <c r="O98" i="12"/>
  <c r="S73" i="12"/>
  <c r="T73" i="12" s="1"/>
  <c r="U73" i="12" s="1"/>
  <c r="O73" i="12"/>
  <c r="P73" i="12" s="1"/>
  <c r="J86" i="12"/>
  <c r="J139" i="12" s="1"/>
  <c r="K90" i="18"/>
  <c r="K98" i="18" s="1"/>
  <c r="K139" i="18" s="1"/>
  <c r="K141" i="18" s="1"/>
  <c r="S139" i="18"/>
  <c r="R74" i="15"/>
  <c r="T74" i="15" s="1"/>
  <c r="U74" i="15" s="1"/>
  <c r="G69" i="14"/>
  <c r="G72" i="14"/>
  <c r="R76" i="15"/>
  <c r="T76" i="15" s="1"/>
  <c r="U76" i="15" s="1"/>
  <c r="R31" i="15"/>
  <c r="T31" i="15" s="1"/>
  <c r="E42" i="5"/>
  <c r="F42" i="5"/>
  <c r="F41" i="5"/>
  <c r="E41" i="5"/>
  <c r="G41" i="5" s="1"/>
  <c r="H41" i="5" s="1"/>
  <c r="F38" i="5"/>
  <c r="E38" i="5"/>
  <c r="G38" i="5" s="1"/>
  <c r="H38" i="5" s="1"/>
  <c r="E36" i="5"/>
  <c r="F36" i="5"/>
  <c r="E15" i="5"/>
  <c r="F15" i="5"/>
  <c r="E24" i="5"/>
  <c r="F24" i="5"/>
  <c r="E16" i="5"/>
  <c r="F16" i="5"/>
  <c r="F26" i="5"/>
  <c r="E26" i="5"/>
  <c r="G26" i="5" s="1"/>
  <c r="H26" i="5" s="1"/>
  <c r="E22" i="5"/>
  <c r="F22" i="5"/>
  <c r="E29" i="5"/>
  <c r="F29" i="5"/>
  <c r="F25" i="5"/>
  <c r="E25" i="5"/>
  <c r="G25" i="5" s="1"/>
  <c r="H25" i="5" s="1"/>
  <c r="E32" i="5"/>
  <c r="F32" i="5"/>
  <c r="F20" i="5"/>
  <c r="E20" i="5"/>
  <c r="G20" i="5" s="1"/>
  <c r="H20" i="5" s="1"/>
  <c r="E19" i="5"/>
  <c r="F19" i="5"/>
  <c r="F24" i="14" l="1"/>
  <c r="F14" i="14" s="1"/>
  <c r="F24" i="17"/>
  <c r="F20" i="4"/>
  <c r="F47" i="17"/>
  <c r="P47" i="17" s="1"/>
  <c r="F43" i="4"/>
  <c r="F47" i="14"/>
  <c r="F121" i="14"/>
  <c r="F121" i="17"/>
  <c r="P121" i="17" s="1"/>
  <c r="F117" i="4"/>
  <c r="L69" i="14"/>
  <c r="J69" i="14"/>
  <c r="H69" i="14"/>
  <c r="N10" i="4"/>
  <c r="G19" i="5"/>
  <c r="H19" i="5" s="1"/>
  <c r="G32" i="5"/>
  <c r="H32" i="5" s="1"/>
  <c r="G29" i="5"/>
  <c r="H29" i="5" s="1"/>
  <c r="G22" i="5"/>
  <c r="H22" i="5" s="1"/>
  <c r="G16" i="5"/>
  <c r="H16" i="5" s="1"/>
  <c r="G24" i="5"/>
  <c r="H24" i="5" s="1"/>
  <c r="G15" i="5"/>
  <c r="H15" i="5" s="1"/>
  <c r="G36" i="5"/>
  <c r="H36" i="5" s="1"/>
  <c r="G42" i="5"/>
  <c r="H42" i="5" s="1"/>
  <c r="U31" i="15"/>
  <c r="U47" i="15" s="1"/>
  <c r="T47" i="15"/>
  <c r="L72" i="14"/>
  <c r="H72" i="14"/>
  <c r="J72" i="14"/>
  <c r="L30" i="4"/>
  <c r="J30" i="4"/>
  <c r="H30" i="4"/>
  <c r="H36" i="4"/>
  <c r="J36" i="4"/>
  <c r="L36" i="4"/>
  <c r="H55" i="4"/>
  <c r="L55" i="4"/>
  <c r="J55" i="4"/>
  <c r="H75" i="4"/>
  <c r="J75" i="4"/>
  <c r="L75" i="4"/>
  <c r="H79" i="4"/>
  <c r="J79" i="4"/>
  <c r="L79" i="4"/>
  <c r="H87" i="4"/>
  <c r="L87" i="4"/>
  <c r="J87" i="4"/>
  <c r="H107" i="4"/>
  <c r="L107" i="4"/>
  <c r="J107" i="4"/>
  <c r="L111" i="4"/>
  <c r="J111" i="4"/>
  <c r="H111" i="4"/>
  <c r="L120" i="4"/>
  <c r="H120" i="4"/>
  <c r="J120" i="4"/>
  <c r="H31" i="4"/>
  <c r="J31" i="4"/>
  <c r="L31" i="4"/>
  <c r="L89" i="4"/>
  <c r="H89" i="4"/>
  <c r="J89" i="4"/>
  <c r="H104" i="4"/>
  <c r="J104" i="4"/>
  <c r="L104" i="4"/>
  <c r="L125" i="4"/>
  <c r="H125" i="4"/>
  <c r="J125" i="4"/>
  <c r="H28" i="4"/>
  <c r="L28" i="4"/>
  <c r="J28" i="4"/>
  <c r="L35" i="4"/>
  <c r="H35" i="4"/>
  <c r="J35" i="4"/>
  <c r="H53" i="4"/>
  <c r="L53" i="4"/>
  <c r="J53" i="4"/>
  <c r="L74" i="4"/>
  <c r="J74" i="4"/>
  <c r="H74" i="4"/>
  <c r="L78" i="4"/>
  <c r="J78" i="4"/>
  <c r="H78" i="4"/>
  <c r="L106" i="4"/>
  <c r="H106" i="4"/>
  <c r="J106" i="4"/>
  <c r="L110" i="4"/>
  <c r="H110" i="4"/>
  <c r="J110" i="4"/>
  <c r="L29" i="4"/>
  <c r="H29" i="4"/>
  <c r="J29" i="4"/>
  <c r="H56" i="4"/>
  <c r="L56" i="4"/>
  <c r="J56" i="4"/>
  <c r="H102" i="4"/>
  <c r="J102" i="4"/>
  <c r="L102" i="4"/>
  <c r="L124" i="4"/>
  <c r="H124" i="4"/>
  <c r="J124" i="4"/>
  <c r="H73" i="17"/>
  <c r="P86" i="12"/>
  <c r="L67" i="4"/>
  <c r="H67" i="4"/>
  <c r="J67" i="4"/>
  <c r="H66" i="4"/>
  <c r="J66" i="4"/>
  <c r="L66" i="4"/>
  <c r="O47" i="12"/>
  <c r="S47" i="12"/>
  <c r="J17" i="17"/>
  <c r="L17" i="17"/>
  <c r="H17" i="17"/>
  <c r="H84" i="17"/>
  <c r="O122" i="17"/>
  <c r="O101" i="17"/>
  <c r="O105" i="17"/>
  <c r="Q105" i="17" s="1"/>
  <c r="G105" i="17"/>
  <c r="L108" i="14"/>
  <c r="J108" i="14"/>
  <c r="H108" i="14"/>
  <c r="L105" i="14"/>
  <c r="H105" i="14"/>
  <c r="J105" i="14"/>
  <c r="O106" i="17"/>
  <c r="Q106" i="17" s="1"/>
  <c r="G106" i="17"/>
  <c r="O107" i="17"/>
  <c r="Q107" i="17" s="1"/>
  <c r="G107" i="17"/>
  <c r="G23" i="5"/>
  <c r="H23" i="5" s="1"/>
  <c r="G27" i="5"/>
  <c r="H27" i="5" s="1"/>
  <c r="G30" i="5"/>
  <c r="H30" i="5" s="1"/>
  <c r="G18" i="5"/>
  <c r="H18" i="5" s="1"/>
  <c r="G28" i="5"/>
  <c r="H28" i="5" s="1"/>
  <c r="G37" i="5"/>
  <c r="H37" i="5" s="1"/>
  <c r="G39" i="5"/>
  <c r="H39" i="5" s="1"/>
  <c r="G40" i="5"/>
  <c r="H40" i="5" s="1"/>
  <c r="L70" i="14"/>
  <c r="H70" i="14"/>
  <c r="J70" i="14"/>
  <c r="H68" i="14"/>
  <c r="J68" i="14"/>
  <c r="L68" i="14"/>
  <c r="Q103" i="4"/>
  <c r="Q99" i="4"/>
  <c r="L33" i="4"/>
  <c r="H33" i="4"/>
  <c r="J33" i="4"/>
  <c r="H37" i="4"/>
  <c r="J37" i="4"/>
  <c r="L37" i="4"/>
  <c r="L58" i="4"/>
  <c r="H58" i="4"/>
  <c r="J58" i="4"/>
  <c r="H76" i="4"/>
  <c r="L76" i="4"/>
  <c r="J76" i="4"/>
  <c r="G101" i="4"/>
  <c r="H108" i="4"/>
  <c r="J108" i="4"/>
  <c r="L108" i="4"/>
  <c r="N11" i="4"/>
  <c r="U137" i="18"/>
  <c r="G35" i="5"/>
  <c r="H35" i="5" s="1"/>
  <c r="P126" i="18"/>
  <c r="P137" i="18" s="1"/>
  <c r="O137" i="18"/>
  <c r="S86" i="12"/>
  <c r="U14" i="12"/>
  <c r="U19" i="12" s="1"/>
  <c r="T19" i="12"/>
  <c r="S137" i="12"/>
  <c r="T125" i="12"/>
  <c r="T90" i="18"/>
  <c r="N133" i="17"/>
  <c r="T19" i="18"/>
  <c r="U14" i="18"/>
  <c r="U19" i="18" s="1"/>
  <c r="O124" i="17"/>
  <c r="Q124" i="17" s="1"/>
  <c r="G124" i="17"/>
  <c r="O120" i="17"/>
  <c r="O33" i="17"/>
  <c r="Q33" i="17" s="1"/>
  <c r="G33" i="17"/>
  <c r="O27" i="17"/>
  <c r="E15" i="17"/>
  <c r="O25" i="17"/>
  <c r="J34" i="14"/>
  <c r="L34" i="14"/>
  <c r="H34" i="14"/>
  <c r="O21" i="4"/>
  <c r="E11" i="4"/>
  <c r="O11" i="4" s="1"/>
  <c r="O20" i="4"/>
  <c r="E10" i="4"/>
  <c r="O10" i="4" s="1"/>
  <c r="O129" i="4" s="1"/>
  <c r="O32" i="17"/>
  <c r="Q32" i="17" s="1"/>
  <c r="G32" i="17"/>
  <c r="O26" i="17"/>
  <c r="O24" i="17"/>
  <c r="E14" i="17"/>
  <c r="G24" i="17"/>
  <c r="L33" i="14"/>
  <c r="H33" i="14"/>
  <c r="J33" i="14"/>
  <c r="E14" i="14"/>
  <c r="G14" i="14" s="1"/>
  <c r="G24" i="14"/>
  <c r="O88" i="17"/>
  <c r="O87" i="17"/>
  <c r="O121" i="17"/>
  <c r="Q121" i="17" s="1"/>
  <c r="G121" i="17"/>
  <c r="O58" i="17"/>
  <c r="Q58" i="17" s="1"/>
  <c r="G58" i="17"/>
  <c r="O51" i="17"/>
  <c r="O47" i="17"/>
  <c r="Q47" i="17" s="1"/>
  <c r="G47" i="17"/>
  <c r="O60" i="17"/>
  <c r="Q60" i="17" s="1"/>
  <c r="G60" i="17"/>
  <c r="O52" i="17"/>
  <c r="O48" i="17"/>
  <c r="L59" i="14"/>
  <c r="J59" i="14"/>
  <c r="H59" i="14"/>
  <c r="H55" i="14"/>
  <c r="J55" i="14"/>
  <c r="L55" i="14"/>
  <c r="L60" i="14"/>
  <c r="H60" i="14"/>
  <c r="J60" i="14"/>
  <c r="H56" i="14"/>
  <c r="J56" i="14"/>
  <c r="L56" i="14"/>
  <c r="O30" i="17"/>
  <c r="Q30" i="17" s="1"/>
  <c r="G30" i="17"/>
  <c r="O22" i="17"/>
  <c r="J30" i="14"/>
  <c r="L30" i="14"/>
  <c r="H30" i="14"/>
  <c r="F46" i="14"/>
  <c r="G46" i="14" s="1"/>
  <c r="F46" i="17"/>
  <c r="P46" i="17" s="1"/>
  <c r="F42" i="4"/>
  <c r="F88" i="14"/>
  <c r="G88" i="14" s="1"/>
  <c r="F84" i="4"/>
  <c r="F88" i="17"/>
  <c r="P88" i="17" s="1"/>
  <c r="O86" i="12"/>
  <c r="P102" i="12"/>
  <c r="P121" i="12" s="1"/>
  <c r="O121" i="12"/>
  <c r="T102" i="12"/>
  <c r="S121" i="12"/>
  <c r="T68" i="12"/>
  <c r="U51" i="12"/>
  <c r="U68" i="12" s="1"/>
  <c r="P47" i="12"/>
  <c r="P139" i="12" s="1"/>
  <c r="L84" i="17"/>
  <c r="O108" i="17"/>
  <c r="Q108" i="17" s="1"/>
  <c r="G108" i="17"/>
  <c r="O97" i="17"/>
  <c r="O98" i="17"/>
  <c r="G98" i="17"/>
  <c r="J106" i="14"/>
  <c r="L106" i="14"/>
  <c r="H106" i="14"/>
  <c r="L107" i="14"/>
  <c r="H107" i="14"/>
  <c r="J107" i="14"/>
  <c r="O99" i="17"/>
  <c r="G99" i="17"/>
  <c r="O100" i="17"/>
  <c r="F21" i="14"/>
  <c r="G21" i="14" s="1"/>
  <c r="F21" i="17"/>
  <c r="P21" i="17" s="1"/>
  <c r="F17" i="4"/>
  <c r="F98" i="14"/>
  <c r="G98" i="14" s="1"/>
  <c r="F98" i="17"/>
  <c r="P98" i="17" s="1"/>
  <c r="F94" i="4"/>
  <c r="P94" i="4" s="1"/>
  <c r="Q94" i="4" s="1"/>
  <c r="F52" i="14"/>
  <c r="F52" i="17"/>
  <c r="P52" i="17" s="1"/>
  <c r="F48" i="4"/>
  <c r="F21" i="4"/>
  <c r="F25" i="14"/>
  <c r="F15" i="14" s="1"/>
  <c r="F25" i="17"/>
  <c r="G25" i="17" s="1"/>
  <c r="F99" i="17"/>
  <c r="P99" i="17" s="1"/>
  <c r="F95" i="4"/>
  <c r="F99" i="14"/>
  <c r="G99" i="14" s="1"/>
  <c r="U72" i="15"/>
  <c r="U86" i="15" s="1"/>
  <c r="T86" i="15"/>
  <c r="H71" i="14"/>
  <c r="J71" i="14"/>
  <c r="L71" i="14"/>
  <c r="U90" i="12"/>
  <c r="U98" i="12" s="1"/>
  <c r="T98" i="12"/>
  <c r="L26" i="4"/>
  <c r="J26" i="4"/>
  <c r="H26" i="4"/>
  <c r="L34" i="4"/>
  <c r="J34" i="4"/>
  <c r="H34" i="4"/>
  <c r="H38" i="4"/>
  <c r="L38" i="4"/>
  <c r="J38" i="4"/>
  <c r="L51" i="4"/>
  <c r="H51" i="4"/>
  <c r="J51" i="4"/>
  <c r="L73" i="4"/>
  <c r="H73" i="4"/>
  <c r="J73" i="4"/>
  <c r="L77" i="4"/>
  <c r="J77" i="4"/>
  <c r="H77" i="4"/>
  <c r="G103" i="4"/>
  <c r="L109" i="4"/>
  <c r="H109" i="4"/>
  <c r="J109" i="4"/>
  <c r="L27" i="4"/>
  <c r="H27" i="4"/>
  <c r="J27" i="4"/>
  <c r="H54" i="4"/>
  <c r="J54" i="4"/>
  <c r="L54" i="4"/>
  <c r="G94" i="4"/>
  <c r="G99" i="4"/>
  <c r="H123" i="4"/>
  <c r="J123" i="4"/>
  <c r="L123" i="4"/>
  <c r="N13" i="4"/>
  <c r="Q13" i="4" s="1"/>
  <c r="G13" i="4"/>
  <c r="Q101" i="4"/>
  <c r="H52" i="4"/>
  <c r="J52" i="4"/>
  <c r="L52" i="4"/>
  <c r="H122" i="4"/>
  <c r="J122" i="4"/>
  <c r="L122" i="4"/>
  <c r="H126" i="4"/>
  <c r="J126" i="4"/>
  <c r="L126" i="4"/>
  <c r="T137" i="18"/>
  <c r="P90" i="18"/>
  <c r="P98" i="18" s="1"/>
  <c r="P139" i="18" s="1"/>
  <c r="O98" i="18"/>
  <c r="O139" i="18" s="1"/>
  <c r="U72" i="12"/>
  <c r="U86" i="12" s="1"/>
  <c r="T86" i="12"/>
  <c r="S139" i="12"/>
  <c r="H65" i="4"/>
  <c r="J65" i="4"/>
  <c r="L65" i="4"/>
  <c r="L64" i="4"/>
  <c r="H64" i="4"/>
  <c r="H69" i="4" s="1"/>
  <c r="J64" i="4"/>
  <c r="L68" i="4"/>
  <c r="H68" i="4"/>
  <c r="J68" i="4"/>
  <c r="O137" i="12"/>
  <c r="O139" i="12" s="1"/>
  <c r="P125" i="12"/>
  <c r="P137" i="12" s="1"/>
  <c r="H124" i="14"/>
  <c r="L124" i="14"/>
  <c r="J124" i="14"/>
  <c r="O35" i="17"/>
  <c r="Q35" i="17" s="1"/>
  <c r="G35" i="17"/>
  <c r="O31" i="17"/>
  <c r="Q31" i="17" s="1"/>
  <c r="G31" i="17"/>
  <c r="O23" i="17"/>
  <c r="E15" i="14"/>
  <c r="G15" i="14" s="1"/>
  <c r="G25" i="14"/>
  <c r="H32" i="14"/>
  <c r="J32" i="14"/>
  <c r="L32" i="14"/>
  <c r="O34" i="17"/>
  <c r="Q34" i="17" s="1"/>
  <c r="G34" i="17"/>
  <c r="O28" i="17"/>
  <c r="O21" i="17"/>
  <c r="Q21" i="17" s="1"/>
  <c r="G21" i="17"/>
  <c r="H35" i="14"/>
  <c r="J35" i="14"/>
  <c r="L35" i="14"/>
  <c r="L31" i="14"/>
  <c r="H31" i="14"/>
  <c r="J31" i="14"/>
  <c r="O91" i="17"/>
  <c r="Q91" i="17" s="1"/>
  <c r="G91" i="17"/>
  <c r="O89" i="17"/>
  <c r="L91" i="14"/>
  <c r="J91" i="14"/>
  <c r="H91" i="14"/>
  <c r="G121" i="14"/>
  <c r="O57" i="17"/>
  <c r="Q57" i="17" s="1"/>
  <c r="G57" i="17"/>
  <c r="O55" i="17"/>
  <c r="Q55" i="17" s="1"/>
  <c r="G55" i="17"/>
  <c r="O49" i="17"/>
  <c r="O59" i="17"/>
  <c r="Q59" i="17" s="1"/>
  <c r="G59" i="17"/>
  <c r="O56" i="17"/>
  <c r="Q56" i="17" s="1"/>
  <c r="G56" i="17"/>
  <c r="O50" i="17"/>
  <c r="O46" i="17"/>
  <c r="Q46" i="17" s="1"/>
  <c r="G46" i="17"/>
  <c r="J57" i="14"/>
  <c r="H57" i="14"/>
  <c r="L57" i="14"/>
  <c r="G47" i="14"/>
  <c r="J58" i="14"/>
  <c r="L58" i="14"/>
  <c r="H58" i="14"/>
  <c r="G52" i="14"/>
  <c r="L99" i="14" l="1"/>
  <c r="H99" i="14"/>
  <c r="J99" i="14"/>
  <c r="H21" i="14"/>
  <c r="L21" i="14"/>
  <c r="J21" i="14"/>
  <c r="L88" i="14"/>
  <c r="H88" i="14"/>
  <c r="J88" i="14"/>
  <c r="H25" i="17"/>
  <c r="J25" i="17"/>
  <c r="L25" i="17"/>
  <c r="H98" i="14"/>
  <c r="J98" i="14"/>
  <c r="L98" i="14"/>
  <c r="L46" i="14"/>
  <c r="H46" i="14"/>
  <c r="J46" i="14"/>
  <c r="J47" i="14"/>
  <c r="L47" i="14"/>
  <c r="H47" i="14"/>
  <c r="J46" i="17"/>
  <c r="H46" i="17"/>
  <c r="L46" i="17"/>
  <c r="J56" i="17"/>
  <c r="H56" i="17"/>
  <c r="L56" i="17"/>
  <c r="L59" i="17"/>
  <c r="H59" i="17"/>
  <c r="J59" i="17"/>
  <c r="L55" i="17"/>
  <c r="H55" i="17"/>
  <c r="J55" i="17"/>
  <c r="L57" i="17"/>
  <c r="H57" i="17"/>
  <c r="J57" i="17"/>
  <c r="L121" i="14"/>
  <c r="H121" i="14"/>
  <c r="J121" i="14"/>
  <c r="H21" i="17"/>
  <c r="J21" i="17"/>
  <c r="L21" i="17"/>
  <c r="L34" i="17"/>
  <c r="J34" i="17"/>
  <c r="H34" i="17"/>
  <c r="L25" i="14"/>
  <c r="H25" i="14"/>
  <c r="J25" i="14"/>
  <c r="H31" i="17"/>
  <c r="J31" i="17"/>
  <c r="L31" i="17"/>
  <c r="H35" i="17"/>
  <c r="J35" i="17"/>
  <c r="L35" i="17"/>
  <c r="L69" i="4"/>
  <c r="L13" i="4"/>
  <c r="H13" i="4"/>
  <c r="J13" i="4"/>
  <c r="L94" i="4"/>
  <c r="H94" i="4"/>
  <c r="J94" i="4"/>
  <c r="H103" i="4"/>
  <c r="L103" i="4"/>
  <c r="J103" i="4"/>
  <c r="L80" i="4"/>
  <c r="H59" i="4"/>
  <c r="P48" i="4"/>
  <c r="Q48" i="4" s="1"/>
  <c r="G48" i="4"/>
  <c r="P17" i="4"/>
  <c r="Q17" i="4" s="1"/>
  <c r="G17" i="4"/>
  <c r="Q99" i="17"/>
  <c r="Q98" i="17"/>
  <c r="P84" i="4"/>
  <c r="Q84" i="4" s="1"/>
  <c r="G84" i="4"/>
  <c r="P42" i="4"/>
  <c r="Q42" i="4" s="1"/>
  <c r="G42" i="4"/>
  <c r="L30" i="17"/>
  <c r="J30" i="17"/>
  <c r="H30" i="17"/>
  <c r="Q52" i="17"/>
  <c r="Q88" i="17"/>
  <c r="H14" i="14"/>
  <c r="J14" i="14"/>
  <c r="L14" i="14"/>
  <c r="J24" i="17"/>
  <c r="H24" i="17"/>
  <c r="L24" i="17"/>
  <c r="O15" i="17"/>
  <c r="H124" i="17"/>
  <c r="L124" i="17"/>
  <c r="J124" i="17"/>
  <c r="T98" i="18"/>
  <c r="U90" i="18"/>
  <c r="U98" i="18" s="1"/>
  <c r="U139" i="18" s="1"/>
  <c r="F100" i="14"/>
  <c r="G100" i="14" s="1"/>
  <c r="F100" i="17"/>
  <c r="F96" i="4"/>
  <c r="L73" i="14"/>
  <c r="H73" i="14"/>
  <c r="F120" i="17"/>
  <c r="F116" i="4"/>
  <c r="F120" i="14"/>
  <c r="G120" i="14" s="1"/>
  <c r="F87" i="17"/>
  <c r="F83" i="4"/>
  <c r="F87" i="14"/>
  <c r="G87" i="14" s="1"/>
  <c r="F22" i="17"/>
  <c r="F18" i="4"/>
  <c r="F22" i="14"/>
  <c r="G22" i="14" s="1"/>
  <c r="F48" i="14"/>
  <c r="G48" i="14" s="1"/>
  <c r="F48" i="17"/>
  <c r="F44" i="4"/>
  <c r="H107" i="17"/>
  <c r="L107" i="17"/>
  <c r="J107" i="17"/>
  <c r="H106" i="17"/>
  <c r="L106" i="17"/>
  <c r="J106" i="17"/>
  <c r="T139" i="15"/>
  <c r="F122" i="17"/>
  <c r="F118" i="4"/>
  <c r="F122" i="14"/>
  <c r="G122" i="14" s="1"/>
  <c r="F50" i="14"/>
  <c r="G50" i="14" s="1"/>
  <c r="F50" i="17"/>
  <c r="F46" i="4"/>
  <c r="F23" i="14"/>
  <c r="G23" i="14" s="1"/>
  <c r="F23" i="17"/>
  <c r="F19" i="4"/>
  <c r="F14" i="17"/>
  <c r="P14" i="17" s="1"/>
  <c r="P24" i="17"/>
  <c r="Q24" i="17" s="1"/>
  <c r="J52" i="14"/>
  <c r="H52" i="14"/>
  <c r="L52" i="14"/>
  <c r="L91" i="17"/>
  <c r="J91" i="17"/>
  <c r="H91" i="17"/>
  <c r="J15" i="14"/>
  <c r="H15" i="14"/>
  <c r="L15" i="14"/>
  <c r="L99" i="4"/>
  <c r="H99" i="4"/>
  <c r="J99" i="4"/>
  <c r="H80" i="4"/>
  <c r="L59" i="4"/>
  <c r="P95" i="4"/>
  <c r="Q95" i="4" s="1"/>
  <c r="G95" i="4"/>
  <c r="F15" i="17"/>
  <c r="P15" i="17" s="1"/>
  <c r="P25" i="17"/>
  <c r="P21" i="4"/>
  <c r="Q21" i="4" s="1"/>
  <c r="F11" i="4"/>
  <c r="P11" i="4" s="1"/>
  <c r="G21" i="4"/>
  <c r="H99" i="17"/>
  <c r="L99" i="17"/>
  <c r="J99" i="17"/>
  <c r="L98" i="17"/>
  <c r="J98" i="17"/>
  <c r="H98" i="17"/>
  <c r="L108" i="17"/>
  <c r="J108" i="17"/>
  <c r="H108" i="17"/>
  <c r="U102" i="12"/>
  <c r="U121" i="12" s="1"/>
  <c r="U139" i="12" s="1"/>
  <c r="T121" i="12"/>
  <c r="L63" i="14"/>
  <c r="H63" i="14"/>
  <c r="G52" i="17"/>
  <c r="J60" i="17"/>
  <c r="L60" i="17"/>
  <c r="H60" i="17"/>
  <c r="L47" i="17"/>
  <c r="H47" i="17"/>
  <c r="J47" i="17"/>
  <c r="L58" i="17"/>
  <c r="J58" i="17"/>
  <c r="H58" i="17"/>
  <c r="J121" i="17"/>
  <c r="H121" i="17"/>
  <c r="L121" i="17"/>
  <c r="G88" i="17"/>
  <c r="L24" i="14"/>
  <c r="H24" i="14"/>
  <c r="J24" i="14"/>
  <c r="O14" i="17"/>
  <c r="G14" i="17"/>
  <c r="J32" i="17"/>
  <c r="H32" i="17"/>
  <c r="L32" i="17"/>
  <c r="Q25" i="17"/>
  <c r="L33" i="17"/>
  <c r="H33" i="17"/>
  <c r="J33" i="17"/>
  <c r="T139" i="18"/>
  <c r="U125" i="12"/>
  <c r="U137" i="12" s="1"/>
  <c r="T137" i="12"/>
  <c r="T139" i="12"/>
  <c r="Q11" i="4"/>
  <c r="H101" i="4"/>
  <c r="L101" i="4"/>
  <c r="J101" i="4"/>
  <c r="F89" i="17"/>
  <c r="F85" i="4"/>
  <c r="F89" i="14"/>
  <c r="G89" i="14" s="1"/>
  <c r="F49" i="14"/>
  <c r="G49" i="14" s="1"/>
  <c r="F45" i="4"/>
  <c r="F49" i="17"/>
  <c r="F51" i="14"/>
  <c r="G51" i="14" s="1"/>
  <c r="F51" i="17"/>
  <c r="F47" i="4"/>
  <c r="F27" i="17"/>
  <c r="F23" i="4"/>
  <c r="F27" i="14"/>
  <c r="G27" i="14" s="1"/>
  <c r="L105" i="17"/>
  <c r="H105" i="17"/>
  <c r="J105" i="17"/>
  <c r="U139" i="15"/>
  <c r="F101" i="17"/>
  <c r="F97" i="4"/>
  <c r="F101" i="14"/>
  <c r="G101" i="14" s="1"/>
  <c r="F28" i="17"/>
  <c r="F24" i="4"/>
  <c r="F28" i="14"/>
  <c r="G28" i="14" s="1"/>
  <c r="F26" i="17"/>
  <c r="F22" i="4"/>
  <c r="F26" i="14"/>
  <c r="G26" i="14" s="1"/>
  <c r="F97" i="14"/>
  <c r="G97" i="14" s="1"/>
  <c r="F97" i="17"/>
  <c r="F93" i="4"/>
  <c r="N129" i="4"/>
  <c r="Q10" i="4"/>
  <c r="P117" i="4"/>
  <c r="Q117" i="4" s="1"/>
  <c r="G117" i="4"/>
  <c r="P43" i="4"/>
  <c r="Q43" i="4" s="1"/>
  <c r="G43" i="4"/>
  <c r="F10" i="4"/>
  <c r="P10" i="4" s="1"/>
  <c r="P20" i="4"/>
  <c r="Q20" i="4" s="1"/>
  <c r="G20" i="4"/>
  <c r="P93" i="4" l="1"/>
  <c r="Q93" i="4" s="1"/>
  <c r="G93" i="4"/>
  <c r="P22" i="4"/>
  <c r="Q22" i="4" s="1"/>
  <c r="G22" i="4"/>
  <c r="P27" i="17"/>
  <c r="Q27" i="17" s="1"/>
  <c r="G27" i="17"/>
  <c r="P49" i="17"/>
  <c r="Q49" i="17" s="1"/>
  <c r="G49" i="17"/>
  <c r="L20" i="4"/>
  <c r="J20" i="4"/>
  <c r="H20" i="4"/>
  <c r="P97" i="17"/>
  <c r="Q97" i="17" s="1"/>
  <c r="G97" i="17"/>
  <c r="H26" i="14"/>
  <c r="J26" i="14"/>
  <c r="L26" i="14"/>
  <c r="P26" i="17"/>
  <c r="Q26" i="17" s="1"/>
  <c r="G26" i="17"/>
  <c r="P24" i="4"/>
  <c r="Q24" i="4" s="1"/>
  <c r="G24" i="4"/>
  <c r="L101" i="14"/>
  <c r="H101" i="14"/>
  <c r="J101" i="14"/>
  <c r="P101" i="17"/>
  <c r="Q101" i="17" s="1"/>
  <c r="G101" i="17"/>
  <c r="P23" i="4"/>
  <c r="Q23" i="4" s="1"/>
  <c r="G23" i="4"/>
  <c r="P47" i="4"/>
  <c r="Q47" i="4" s="1"/>
  <c r="G47" i="4"/>
  <c r="L51" i="14"/>
  <c r="H51" i="14"/>
  <c r="J51" i="14"/>
  <c r="P45" i="4"/>
  <c r="Q45" i="4" s="1"/>
  <c r="G45" i="4"/>
  <c r="H89" i="14"/>
  <c r="L89" i="14"/>
  <c r="J89" i="14"/>
  <c r="P89" i="17"/>
  <c r="Q89" i="17" s="1"/>
  <c r="G89" i="17"/>
  <c r="O133" i="17"/>
  <c r="Q14" i="17"/>
  <c r="H88" i="17"/>
  <c r="L88" i="17"/>
  <c r="J88" i="17"/>
  <c r="H21" i="4"/>
  <c r="J21" i="4"/>
  <c r="L21" i="4"/>
  <c r="P19" i="4"/>
  <c r="Q19" i="4" s="1"/>
  <c r="G19" i="4"/>
  <c r="L23" i="14"/>
  <c r="H23" i="14"/>
  <c r="J23" i="14"/>
  <c r="P50" i="17"/>
  <c r="Q50" i="17" s="1"/>
  <c r="G50" i="17"/>
  <c r="J122" i="14"/>
  <c r="L122" i="14"/>
  <c r="H122" i="14"/>
  <c r="P122" i="17"/>
  <c r="Q122" i="17" s="1"/>
  <c r="G122" i="17"/>
  <c r="P44" i="4"/>
  <c r="Q44" i="4" s="1"/>
  <c r="G44" i="4"/>
  <c r="H48" i="14"/>
  <c r="J48" i="14"/>
  <c r="L48" i="14"/>
  <c r="P18" i="4"/>
  <c r="Q18" i="4" s="1"/>
  <c r="Q129" i="4" s="1"/>
  <c r="G18" i="4"/>
  <c r="J87" i="14"/>
  <c r="L87" i="14"/>
  <c r="L94" i="14" s="1"/>
  <c r="H87" i="14"/>
  <c r="H94" i="14" s="1"/>
  <c r="P87" i="17"/>
  <c r="Q87" i="17" s="1"/>
  <c r="G87" i="17"/>
  <c r="P116" i="4"/>
  <c r="Q116" i="4" s="1"/>
  <c r="G116" i="4"/>
  <c r="G11" i="4"/>
  <c r="P100" i="17"/>
  <c r="Q100" i="17" s="1"/>
  <c r="G100" i="17"/>
  <c r="G15" i="17"/>
  <c r="L42" i="4"/>
  <c r="H42" i="4"/>
  <c r="J42" i="4"/>
  <c r="L84" i="4"/>
  <c r="H84" i="4"/>
  <c r="J84" i="4"/>
  <c r="L17" i="4"/>
  <c r="H17" i="4"/>
  <c r="J17" i="4"/>
  <c r="H48" i="4"/>
  <c r="J48" i="4"/>
  <c r="L48" i="4"/>
  <c r="L63" i="17"/>
  <c r="L43" i="4"/>
  <c r="H43" i="4"/>
  <c r="J43" i="4"/>
  <c r="H117" i="4"/>
  <c r="J117" i="4"/>
  <c r="L117" i="4"/>
  <c r="H97" i="14"/>
  <c r="J97" i="14"/>
  <c r="L97" i="14"/>
  <c r="H28" i="14"/>
  <c r="J28" i="14"/>
  <c r="L28" i="14"/>
  <c r="P28" i="17"/>
  <c r="Q28" i="17" s="1"/>
  <c r="G28" i="17"/>
  <c r="P97" i="4"/>
  <c r="Q97" i="4" s="1"/>
  <c r="G97" i="4"/>
  <c r="H27" i="14"/>
  <c r="J27" i="14"/>
  <c r="L27" i="14"/>
  <c r="P51" i="17"/>
  <c r="Q51" i="17" s="1"/>
  <c r="G51" i="17"/>
  <c r="J49" i="14"/>
  <c r="L49" i="14"/>
  <c r="L53" i="14" s="1"/>
  <c r="H49" i="14"/>
  <c r="P85" i="4"/>
  <c r="Q85" i="4" s="1"/>
  <c r="G85" i="4"/>
  <c r="J14" i="17"/>
  <c r="H14" i="17"/>
  <c r="L14" i="17"/>
  <c r="J52" i="17"/>
  <c r="L52" i="17"/>
  <c r="H52" i="17"/>
  <c r="H95" i="4"/>
  <c r="L95" i="4"/>
  <c r="J95" i="4"/>
  <c r="G10" i="4"/>
  <c r="P23" i="17"/>
  <c r="Q23" i="17" s="1"/>
  <c r="G23" i="17"/>
  <c r="P46" i="4"/>
  <c r="Q46" i="4" s="1"/>
  <c r="G46" i="4"/>
  <c r="L50" i="14"/>
  <c r="H50" i="14"/>
  <c r="J50" i="14"/>
  <c r="P118" i="4"/>
  <c r="Q118" i="4" s="1"/>
  <c r="G118" i="4"/>
  <c r="P48" i="17"/>
  <c r="Q48" i="17" s="1"/>
  <c r="G48" i="17"/>
  <c r="L22" i="14"/>
  <c r="H22" i="14"/>
  <c r="H43" i="14" s="1"/>
  <c r="J22" i="14"/>
  <c r="P22" i="17"/>
  <c r="Q22" i="17" s="1"/>
  <c r="G22" i="17"/>
  <c r="P83" i="4"/>
  <c r="Q83" i="4" s="1"/>
  <c r="G83" i="4"/>
  <c r="L120" i="14"/>
  <c r="L131" i="14" s="1"/>
  <c r="H120" i="14"/>
  <c r="H131" i="14" s="1"/>
  <c r="J120" i="14"/>
  <c r="P120" i="17"/>
  <c r="Q120" i="17" s="1"/>
  <c r="G120" i="17"/>
  <c r="P96" i="4"/>
  <c r="Q96" i="4" s="1"/>
  <c r="G96" i="4"/>
  <c r="H100" i="14"/>
  <c r="J100" i="14"/>
  <c r="L100" i="14"/>
  <c r="Q15" i="17"/>
  <c r="L18" i="14"/>
  <c r="H18" i="14"/>
  <c r="H63" i="17"/>
  <c r="H53" i="14"/>
  <c r="L43" i="14"/>
  <c r="H96" i="4" l="1"/>
  <c r="J96" i="4"/>
  <c r="L96" i="4"/>
  <c r="J120" i="17"/>
  <c r="L120" i="17"/>
  <c r="H120" i="17"/>
  <c r="H83" i="4"/>
  <c r="J83" i="4"/>
  <c r="L83" i="4"/>
  <c r="L22" i="17"/>
  <c r="J22" i="17"/>
  <c r="H22" i="17"/>
  <c r="L46" i="4"/>
  <c r="H46" i="4"/>
  <c r="J46" i="4"/>
  <c r="H23" i="17"/>
  <c r="J23" i="17"/>
  <c r="L23" i="17"/>
  <c r="L10" i="4"/>
  <c r="J10" i="4"/>
  <c r="H10" i="4"/>
  <c r="J85" i="4"/>
  <c r="H85" i="4"/>
  <c r="L85" i="4"/>
  <c r="L97" i="4"/>
  <c r="J97" i="4"/>
  <c r="H97" i="4"/>
  <c r="H28" i="17"/>
  <c r="L28" i="17"/>
  <c r="J28" i="17"/>
  <c r="H15" i="17"/>
  <c r="J15" i="17"/>
  <c r="L15" i="17"/>
  <c r="L116" i="4"/>
  <c r="H116" i="4"/>
  <c r="J116" i="4"/>
  <c r="H87" i="17"/>
  <c r="J87" i="17"/>
  <c r="L87" i="17"/>
  <c r="H44" i="4"/>
  <c r="H49" i="4" s="1"/>
  <c r="J44" i="4"/>
  <c r="L44" i="4"/>
  <c r="L122" i="17"/>
  <c r="J122" i="17"/>
  <c r="H122" i="17"/>
  <c r="L19" i="4"/>
  <c r="H19" i="4"/>
  <c r="J19" i="4"/>
  <c r="P133" i="17"/>
  <c r="L45" i="4"/>
  <c r="H45" i="4"/>
  <c r="J45" i="4"/>
  <c r="L24" i="4"/>
  <c r="H24" i="4"/>
  <c r="J24" i="4"/>
  <c r="J26" i="17"/>
  <c r="H26" i="17"/>
  <c r="L26" i="17"/>
  <c r="J48" i="17"/>
  <c r="L48" i="17"/>
  <c r="H48" i="17"/>
  <c r="H118" i="4"/>
  <c r="J118" i="4"/>
  <c r="L118" i="4"/>
  <c r="L18" i="17"/>
  <c r="H51" i="17"/>
  <c r="J51" i="17"/>
  <c r="L51" i="17"/>
  <c r="L116" i="14"/>
  <c r="L133" i="14" s="1"/>
  <c r="H116" i="14"/>
  <c r="H133" i="14" s="1"/>
  <c r="H100" i="17"/>
  <c r="L100" i="17"/>
  <c r="J100" i="17"/>
  <c r="H11" i="4"/>
  <c r="J11" i="4"/>
  <c r="L11" i="4"/>
  <c r="L18" i="4"/>
  <c r="L39" i="4" s="1"/>
  <c r="J18" i="4"/>
  <c r="H18" i="4"/>
  <c r="H39" i="4" s="1"/>
  <c r="H50" i="17"/>
  <c r="J50" i="17"/>
  <c r="L50" i="17"/>
  <c r="Q133" i="17"/>
  <c r="J89" i="17"/>
  <c r="H89" i="17"/>
  <c r="L89" i="17"/>
  <c r="H47" i="4"/>
  <c r="J47" i="4"/>
  <c r="L47" i="4"/>
  <c r="L49" i="4" s="1"/>
  <c r="H23" i="4"/>
  <c r="J23" i="4"/>
  <c r="L23" i="4"/>
  <c r="J101" i="17"/>
  <c r="H101" i="17"/>
  <c r="L101" i="17"/>
  <c r="J97" i="17"/>
  <c r="L97" i="17"/>
  <c r="L116" i="17" s="1"/>
  <c r="H97" i="17"/>
  <c r="H116" i="17" s="1"/>
  <c r="P129" i="4"/>
  <c r="H49" i="17"/>
  <c r="J49" i="17"/>
  <c r="L49" i="17"/>
  <c r="L27" i="17"/>
  <c r="H27" i="17"/>
  <c r="J27" i="17"/>
  <c r="L22" i="4"/>
  <c r="J22" i="4"/>
  <c r="H22" i="4"/>
  <c r="J93" i="4"/>
  <c r="L93" i="4"/>
  <c r="L112" i="4" s="1"/>
  <c r="H93" i="4"/>
  <c r="H112" i="4" s="1"/>
  <c r="L53" i="17" l="1"/>
  <c r="L127" i="4"/>
  <c r="H18" i="17"/>
  <c r="H133" i="17" s="1"/>
  <c r="H43" i="17"/>
  <c r="L43" i="17"/>
  <c r="L133" i="17" s="1"/>
  <c r="H131" i="17"/>
  <c r="H53" i="17"/>
  <c r="L94" i="17"/>
  <c r="H94" i="17"/>
  <c r="H127" i="4"/>
  <c r="H14" i="4"/>
  <c r="H129" i="4" s="1"/>
  <c r="L14" i="4"/>
  <c r="L129" i="4" s="1"/>
  <c r="L90" i="4"/>
  <c r="H90" i="4"/>
  <c r="L131" i="17"/>
</calcChain>
</file>

<file path=xl/sharedStrings.xml><?xml version="1.0" encoding="utf-8"?>
<sst xmlns="http://schemas.openxmlformats.org/spreadsheetml/2006/main" count="1981" uniqueCount="818">
  <si>
    <t>001</t>
  </si>
  <si>
    <t>002</t>
  </si>
  <si>
    <t>100</t>
  </si>
  <si>
    <t>107</t>
  </si>
  <si>
    <t>110</t>
  </si>
  <si>
    <t>111</t>
  </si>
  <si>
    <t>112</t>
  </si>
  <si>
    <t>116</t>
  </si>
  <si>
    <t>130</t>
  </si>
  <si>
    <t>Description</t>
  </si>
  <si>
    <t>Incandescent &lt; 300 Watts</t>
  </si>
  <si>
    <t>Incandescent &gt; 300 Watts</t>
  </si>
  <si>
    <t>Mercury Vapour 100 Watts</t>
  </si>
  <si>
    <t>Mercury Vapour 125 Watts</t>
  </si>
  <si>
    <t>Mercury Vapour 175 Watts</t>
  </si>
  <si>
    <t>Mercury Vapour 250 Watts</t>
  </si>
  <si>
    <t>Mercury Vapour 400 Watts</t>
  </si>
  <si>
    <t>Mercury Vapour 700 Watts</t>
  </si>
  <si>
    <t>Mercury Vapour 1000 Watts</t>
  </si>
  <si>
    <t>Mercury Vapour 250 Watt Cont. Oper.</t>
  </si>
  <si>
    <t>Fluorescent  2x24"  70 Watts</t>
  </si>
  <si>
    <t>Fluorescent  2x48"  220 Watts</t>
  </si>
  <si>
    <t>Fluorescent  2x72"  300 Watts</t>
  </si>
  <si>
    <t>Fluorescent  4x72"  600 Watts</t>
  </si>
  <si>
    <t>Fluorescent  1x96"  110 Watts</t>
  </si>
  <si>
    <t>Fluorescent  1x72"  150 Watts</t>
  </si>
  <si>
    <t>Fluorescent  4x48"  440 Watts</t>
  </si>
  <si>
    <t>High Intensity Sodium  250 Watts</t>
  </si>
  <si>
    <t>High Intensity Sodium  400 Watts</t>
  </si>
  <si>
    <t>Low Pressure Sodium  135 Watts</t>
  </si>
  <si>
    <t>Low Pressure Sodium  180 Watts</t>
  </si>
  <si>
    <t>Metallic Arc  400 Watts</t>
  </si>
  <si>
    <t>Metallic Arc  1000 Watts</t>
  </si>
  <si>
    <t>TOTAL</t>
  </si>
  <si>
    <t>Code</t>
  </si>
  <si>
    <t>A</t>
  </si>
  <si>
    <t>B</t>
  </si>
  <si>
    <t>C</t>
  </si>
  <si>
    <t>D</t>
  </si>
  <si>
    <t>E</t>
  </si>
  <si>
    <t>G</t>
  </si>
  <si>
    <t>H</t>
  </si>
  <si>
    <t>I</t>
  </si>
  <si>
    <t>Lamp Type</t>
  </si>
  <si>
    <t>Fluorescent</t>
  </si>
  <si>
    <t>Incandescent</t>
  </si>
  <si>
    <t>Metallic Arc  1000W</t>
  </si>
  <si>
    <t>Low Pressure Sodium</t>
  </si>
  <si>
    <t>Service</t>
  </si>
  <si>
    <t>Life (Years)</t>
  </si>
  <si>
    <t>Total</t>
  </si>
  <si>
    <t>Cost</t>
  </si>
  <si>
    <t>Per Year</t>
  </si>
  <si>
    <t>Per Month</t>
  </si>
  <si>
    <t>CAPITAL COST</t>
  </si>
  <si>
    <t>Total Installation Costs ( Labour )</t>
  </si>
  <si>
    <t>Installation Costs per Fixture</t>
  </si>
  <si>
    <t>High Intensity Sodium  70 Watts</t>
  </si>
  <si>
    <t>High Intensity Sodium  100 Watts</t>
  </si>
  <si>
    <t>High Intensity Sodium  150 Watts</t>
  </si>
  <si>
    <t>Photocell</t>
  </si>
  <si>
    <t>Wire</t>
  </si>
  <si>
    <t>Miscellaneous Hardware</t>
  </si>
  <si>
    <t>Lamp Replacement</t>
  </si>
  <si>
    <t># of</t>
  </si>
  <si>
    <t>Fixtures</t>
  </si>
  <si>
    <t>Labour</t>
  </si>
  <si>
    <t>Value</t>
  </si>
  <si>
    <t>Depreciation</t>
  </si>
  <si>
    <t/>
  </si>
  <si>
    <t>Annual</t>
  </si>
  <si>
    <t>Monthly</t>
  </si>
  <si>
    <t>Incandescent :</t>
  </si>
  <si>
    <t>Incandescent &lt; 300 Watts - Note 1</t>
  </si>
  <si>
    <t>Incandescent &gt; 300 Watts - Note 1</t>
  </si>
  <si>
    <t>Mercury Vapour :</t>
  </si>
  <si>
    <t>Fluorescent :</t>
  </si>
  <si>
    <t>Fluorescent Crosswalk - Continuous</t>
  </si>
  <si>
    <t>Burning - Customer Owned :</t>
  </si>
  <si>
    <t>Fluorescent  2x72"</t>
  </si>
  <si>
    <t>Low Pressure Sodium :</t>
  </si>
  <si>
    <t>Metallic Additive :</t>
  </si>
  <si>
    <t>Energy Charge :</t>
  </si>
  <si>
    <t>Rate per kW.h</t>
  </si>
  <si>
    <t>kW.h/Mo.</t>
  </si>
  <si>
    <t>Power</t>
  </si>
  <si>
    <t>&amp; Energy</t>
  </si>
  <si>
    <t>Maintenance</t>
  </si>
  <si>
    <t>Capital</t>
  </si>
  <si>
    <t>Low Pressure Sodium  90 Watts</t>
  </si>
  <si>
    <t>Metallic Arc  250 Watts</t>
  </si>
  <si>
    <t>Unit Cost</t>
  </si>
  <si>
    <t>Mar/1977</t>
  </si>
  <si>
    <t>Material Cost</t>
  </si>
  <si>
    <t>Expense</t>
  </si>
  <si>
    <t>Cost of</t>
  </si>
  <si>
    <t>Metallic Arc  150 Watts</t>
  </si>
  <si>
    <t>Full Charge</t>
  </si>
  <si>
    <t>Energy Only</t>
  </si>
  <si>
    <t>Energy &amp; Maint</t>
  </si>
  <si>
    <t>Metallic Arc  175 Watts</t>
  </si>
  <si>
    <t>Fluorescent  1x48"</t>
  </si>
  <si>
    <t>Fluorescent 4x35"</t>
  </si>
  <si>
    <t>Fluorescent 4x96"</t>
  </si>
  <si>
    <t>Demand Charge - $7.74/kW</t>
  </si>
  <si>
    <t>1st Block : $.0880 for 1st 200 kW.h</t>
  </si>
  <si>
    <t>2nd Block : $.0582 for all additional</t>
  </si>
  <si>
    <t>Fixture</t>
  </si>
  <si>
    <t>Davit</t>
  </si>
  <si>
    <t>Connectors</t>
  </si>
  <si>
    <t>Fluorescent  4x35"</t>
  </si>
  <si>
    <t>Fluorescent  4x96"</t>
  </si>
  <si>
    <t>Light Type</t>
  </si>
  <si>
    <t>Material</t>
  </si>
  <si>
    <t>Lamp</t>
  </si>
  <si>
    <t>Fasteners</t>
  </si>
  <si>
    <t>Street Lights</t>
  </si>
  <si>
    <t>N/A</t>
  </si>
  <si>
    <t>Metallic Additive 250W</t>
  </si>
  <si>
    <t>Metallic Arc  400W</t>
  </si>
  <si>
    <t>J</t>
  </si>
  <si>
    <t>Assumptions:</t>
  </si>
  <si>
    <t>Average</t>
  </si>
  <si>
    <t>Burning Hours</t>
  </si>
  <si>
    <t>Service Life</t>
  </si>
  <si>
    <t>Life Relative</t>
  </si>
  <si>
    <t>Replacements Relative</t>
  </si>
  <si>
    <t>Life (Hrs)</t>
  </si>
  <si>
    <t>per Year</t>
  </si>
  <si>
    <t>(Years)</t>
  </si>
  <si>
    <t>Flourescent (48 in., T12, Recess Base)</t>
  </si>
  <si>
    <t>Metal Halide 175W</t>
  </si>
  <si>
    <t>Metal Halide 250W</t>
  </si>
  <si>
    <t>Metal Halide 400W</t>
  </si>
  <si>
    <t>Metal Halide 1000W</t>
  </si>
  <si>
    <t>High Pressure Sodium 70W</t>
  </si>
  <si>
    <t>* No Average life data was available for this lamp size in the references listed above. 75% of the quoted life for all Mercury Lamps was used.</t>
  </si>
  <si>
    <t xml:space="preserve">This is gives a life that is consistent with previous rate calculations. </t>
  </si>
  <si>
    <t>Mercury Vapour</t>
  </si>
  <si>
    <t>Mercury Vapour - 125W</t>
  </si>
  <si>
    <t>Sept/2005</t>
  </si>
  <si>
    <t>Metallic Arc  150 &amp; 250W</t>
  </si>
  <si>
    <t>High Pressure Sodium 100W</t>
  </si>
  <si>
    <t>Mercury Vapour 125W  *See Note</t>
  </si>
  <si>
    <t>to 100W HPS</t>
  </si>
  <si>
    <t>Total annual photocell operating time is based on 4,000 hours per year or 333 hours per month.</t>
  </si>
  <si>
    <t>Sample Material Cost - 100 Watt High Intensity (Pressure) Sodium :</t>
  </si>
  <si>
    <t>Inventory Prices as of September 2005</t>
  </si>
  <si>
    <t>Fixture, Ballast &amp; Photocell</t>
  </si>
  <si>
    <t>Bracket Assembly (Davit)</t>
  </si>
  <si>
    <t>ITEM</t>
  </si>
  <si>
    <t>DESCRIPTION</t>
  </si>
  <si>
    <t>AVG COST</t>
  </si>
  <si>
    <t>Location</t>
  </si>
  <si>
    <t>0000386440</t>
  </si>
  <si>
    <t>LAMP FLUORESCENT 40W 48</t>
  </si>
  <si>
    <t>0000386450</t>
  </si>
  <si>
    <t>0000386700</t>
  </si>
  <si>
    <t>LAMP FLUORESCENT 75W 96</t>
  </si>
  <si>
    <t>0000386710</t>
  </si>
  <si>
    <t>LAMP FLUORESCENT 205W</t>
  </si>
  <si>
    <t>0000387070</t>
  </si>
  <si>
    <t>LAMP FLUORESCENT 35W 24</t>
  </si>
  <si>
    <t>0000387190</t>
  </si>
  <si>
    <t>LAMP FLUORESCENT 60W 48</t>
  </si>
  <si>
    <t>0000387360</t>
  </si>
  <si>
    <t>LAMP FLUORESCENT 85W 72</t>
  </si>
  <si>
    <t>0000388000</t>
  </si>
  <si>
    <t>LAMP 100 WATT M.V.</t>
  </si>
  <si>
    <t>0000388180</t>
  </si>
  <si>
    <t>LAMP 125 WATT M.V.</t>
  </si>
  <si>
    <t>0000388330</t>
  </si>
  <si>
    <t>LAMP 175 WATT M.V.</t>
  </si>
  <si>
    <t>0000388500</t>
  </si>
  <si>
    <t>LAMP 250 WATT M.V.</t>
  </si>
  <si>
    <t>0000388660</t>
  </si>
  <si>
    <t>LAMP 400 WATT M.V.</t>
  </si>
  <si>
    <t>0000388770</t>
  </si>
  <si>
    <t>LAMP 700 WATT M.V.</t>
  </si>
  <si>
    <t>0000388980</t>
  </si>
  <si>
    <t>LAMP 1000 WATT MV</t>
  </si>
  <si>
    <t>0000388990</t>
  </si>
  <si>
    <t>LAMP  70 WATT H.P.S.</t>
  </si>
  <si>
    <t>0000389000</t>
  </si>
  <si>
    <t>LAMP 100 WATT H.P.S.</t>
  </si>
  <si>
    <t>0000389030</t>
  </si>
  <si>
    <t>LAMP 135 WATT L.P.S.</t>
  </si>
  <si>
    <t>0000389040</t>
  </si>
  <si>
    <t>LAMP 150 WATT HPS 100V</t>
  </si>
  <si>
    <t>0000389060</t>
  </si>
  <si>
    <t>LAMP 150 WATT H.P.S.55V</t>
  </si>
  <si>
    <t>0000389090</t>
  </si>
  <si>
    <t>LAMP 180 WATT L.P.S.</t>
  </si>
  <si>
    <t>0000389250</t>
  </si>
  <si>
    <t>LAMP 250 WATT H.P.S.</t>
  </si>
  <si>
    <t>0000389400</t>
  </si>
  <si>
    <t>LAMP 400 WATT H.P.S.</t>
  </si>
  <si>
    <t>0000389450</t>
  </si>
  <si>
    <t>LAMP 1000W HPS</t>
  </si>
  <si>
    <t>0000389700</t>
  </si>
  <si>
    <t>LAMP HALIDE  250W</t>
  </si>
  <si>
    <t>0000389770</t>
  </si>
  <si>
    <t>LAMP HALIDE  400W</t>
  </si>
  <si>
    <t>0000389810</t>
  </si>
  <si>
    <t>LAMP HALIDE  1000W</t>
  </si>
  <si>
    <t>0000389900</t>
  </si>
  <si>
    <t>LAMP STREET LITE SIGNAL</t>
  </si>
  <si>
    <t>0002103270</t>
  </si>
  <si>
    <t>CONDUIT FLEX BLK 1/2"</t>
  </si>
  <si>
    <t>0050091540</t>
  </si>
  <si>
    <t>BOLT LAG 1/2"X 4" GALV</t>
  </si>
  <si>
    <t>0050103120</t>
  </si>
  <si>
    <t>BOLT MACHINE 5/8" X 12"</t>
  </si>
  <si>
    <t>0054223510</t>
  </si>
  <si>
    <t>CRIMPIT #2/0- #8 WR139</t>
  </si>
  <si>
    <t>0057151000</t>
  </si>
  <si>
    <t>BRACKET 10'L</t>
  </si>
  <si>
    <t>0057152040</t>
  </si>
  <si>
    <t>BRACKET 1 1/4"X4' FIXED</t>
  </si>
  <si>
    <t>0057152220</t>
  </si>
  <si>
    <t>BRACKET 4'X 2' 16" TEN</t>
  </si>
  <si>
    <t>0057154060</t>
  </si>
  <si>
    <t>BRACKET 1 1/4"X6' LOWER</t>
  </si>
  <si>
    <t>0057155060</t>
  </si>
  <si>
    <t>BRACKET SWIVEL 1 1/4 X6</t>
  </si>
  <si>
    <t>0057155720</t>
  </si>
  <si>
    <t>BRACKET TAPERED 6' X 2"</t>
  </si>
  <si>
    <t>0057155723</t>
  </si>
  <si>
    <t>BRACKET TAPERED 8'</t>
  </si>
  <si>
    <t>0057155725</t>
  </si>
  <si>
    <t>BRACKET TAPERED 2"X10'</t>
  </si>
  <si>
    <t>0057156020</t>
  </si>
  <si>
    <t>BRACKET LOWER 2" X 6'</t>
  </si>
  <si>
    <t>0057156080</t>
  </si>
  <si>
    <t>BRACKET FIXED 2" X 8'</t>
  </si>
  <si>
    <t>0057157010</t>
  </si>
  <si>
    <t>BRACKET TAPERED  12'L</t>
  </si>
  <si>
    <t>0057158140</t>
  </si>
  <si>
    <t>PLATE POLE ST LITE 1 1/</t>
  </si>
  <si>
    <t>0057158220</t>
  </si>
  <si>
    <t>PLATE POLE ST LIGHT 2"</t>
  </si>
  <si>
    <t>0057350350</t>
  </si>
  <si>
    <t>LUMINAIRE LPS 135W</t>
  </si>
  <si>
    <t>0057350720</t>
  </si>
  <si>
    <t>LUM LPS 180W 120/240/347 V</t>
  </si>
  <si>
    <t>R04B</t>
  </si>
  <si>
    <t>0057350750</t>
  </si>
  <si>
    <t>LUMINAIRE LPS 180W 240V</t>
  </si>
  <si>
    <t>XX</t>
  </si>
  <si>
    <t>0057350800</t>
  </si>
  <si>
    <t>LUMINAIRE LPS 180W 347V</t>
  </si>
  <si>
    <t>0057350830</t>
  </si>
  <si>
    <t>LUMINAIRE HPS 70W  POLY</t>
  </si>
  <si>
    <t>LUM. 70W POLY C/W LAMP</t>
  </si>
  <si>
    <t>0057350836</t>
  </si>
  <si>
    <t>LUM 70W POLY ALUM.ALLOY</t>
  </si>
  <si>
    <t>0057350837</t>
  </si>
  <si>
    <t>LUMINAIRE 70W HPS CWA ACRYLIC</t>
  </si>
  <si>
    <t>C01A</t>
  </si>
  <si>
    <t>0057350850</t>
  </si>
  <si>
    <t>LUMINAIRE HPS 70W GLASS</t>
  </si>
  <si>
    <t>0057350855</t>
  </si>
  <si>
    <t>LUM. 70W GLASS C/W LAMP</t>
  </si>
  <si>
    <t>C03A</t>
  </si>
  <si>
    <t>0057350856</t>
  </si>
  <si>
    <t>LUM 70W GLASS AL. ALLOY</t>
  </si>
  <si>
    <t>M12D</t>
  </si>
  <si>
    <t>0057350857</t>
  </si>
  <si>
    <t>LUM. 70W GLASS CWI BAL.</t>
  </si>
  <si>
    <t>M08A</t>
  </si>
  <si>
    <t>0057350860</t>
  </si>
  <si>
    <t>LUM 100W  HPS POLY</t>
  </si>
  <si>
    <t>0057350865</t>
  </si>
  <si>
    <t>LUM. 100W POLY C/W LAMP</t>
  </si>
  <si>
    <t>0057350866</t>
  </si>
  <si>
    <t>LUMINAIRE 100W ACRYLIC HPS CWA</t>
  </si>
  <si>
    <t>C07A</t>
  </si>
  <si>
    <t>0057350867</t>
  </si>
  <si>
    <t>LUM 100W POLY AL. ALLOY</t>
  </si>
  <si>
    <t>0057350875</t>
  </si>
  <si>
    <t>LUM. 100W GLASS C/WLAMP</t>
  </si>
  <si>
    <t>0057350877</t>
  </si>
  <si>
    <t>LUM. 100W GLASS CWI BAL</t>
  </si>
  <si>
    <t>0057350880</t>
  </si>
  <si>
    <t>LUMINAIRE HPS 150W GLAS</t>
  </si>
  <si>
    <t>0057350885</t>
  </si>
  <si>
    <t>LUM. 150W GLASS C/WLAMP</t>
  </si>
  <si>
    <t>0057350886</t>
  </si>
  <si>
    <t>LUMINAIRE 150W HPS CWI GLASS</t>
  </si>
  <si>
    <t>M05A</t>
  </si>
  <si>
    <t>0057350887</t>
  </si>
  <si>
    <t>LUM. 150W HPS 240V GLAS</t>
  </si>
  <si>
    <t>C09A</t>
  </si>
  <si>
    <t>0057350890</t>
  </si>
  <si>
    <t>LUMINAIRE HPS 150W POLY</t>
  </si>
  <si>
    <t>0057350895</t>
  </si>
  <si>
    <t>LUM. 150W POLY C/W LAMP</t>
  </si>
  <si>
    <t>0057351315</t>
  </si>
  <si>
    <t>LUMINAIRE 250W HPS CWI GLASS</t>
  </si>
  <si>
    <t>0057351400</t>
  </si>
  <si>
    <t>LUMINAIRE 250W HPS CWI 347V</t>
  </si>
  <si>
    <t>C05A</t>
  </si>
  <si>
    <t>0057351710</t>
  </si>
  <si>
    <t>LUMINAIRE HPS 400W GLAS</t>
  </si>
  <si>
    <t>0057351715</t>
  </si>
  <si>
    <t>LUMINAIRE 400W HPS CWI 120/240</t>
  </si>
  <si>
    <t>M12A</t>
  </si>
  <si>
    <t>0057351720</t>
  </si>
  <si>
    <t>LUMINAIRE HPS 400W 240V</t>
  </si>
  <si>
    <t>0057351730</t>
  </si>
  <si>
    <t>LUMINAIRE HPS 400W 347V</t>
  </si>
  <si>
    <t>0057351760</t>
  </si>
  <si>
    <t>LUMINAIRE 400W 600V HPS CWI GL</t>
  </si>
  <si>
    <t>0057353330</t>
  </si>
  <si>
    <t>LUMINAIRE MTL-HLDE 400W</t>
  </si>
  <si>
    <t>0057353500</t>
  </si>
  <si>
    <t>LUMINAIRE HALIDE 1000 W</t>
  </si>
  <si>
    <t>0057353550</t>
  </si>
  <si>
    <t>T01C</t>
  </si>
  <si>
    <t>0057400920</t>
  </si>
  <si>
    <t>AREA LIGHT MV 125 W</t>
  </si>
  <si>
    <t>0057401200</t>
  </si>
  <si>
    <t>LUMINAIRES 70W H-P.S.</t>
  </si>
  <si>
    <t>D14B</t>
  </si>
  <si>
    <t>0057401205</t>
  </si>
  <si>
    <t>DUSK-T-DAWN 70W HPS CWA</t>
  </si>
  <si>
    <t>D08B</t>
  </si>
  <si>
    <t>0057402020</t>
  </si>
  <si>
    <t>AREA LIGHT MV 175 W</t>
  </si>
  <si>
    <t>0057402100</t>
  </si>
  <si>
    <t>LUMINAIRES 100W H.P.S.</t>
  </si>
  <si>
    <t>0057402105</t>
  </si>
  <si>
    <t>DUSK-T-DAWN 100W HPS CWA</t>
  </si>
  <si>
    <t>C15A</t>
  </si>
  <si>
    <t>0057402150</t>
  </si>
  <si>
    <t>FLOODLIGHT 150W HPS CWI</t>
  </si>
  <si>
    <t>C17A</t>
  </si>
  <si>
    <t>0057402240</t>
  </si>
  <si>
    <t>FLOODLIGHT  M.V. 175W</t>
  </si>
  <si>
    <t>0057403330</t>
  </si>
  <si>
    <t>FLOODLIGHT M V    250 W</t>
  </si>
  <si>
    <t>0057403500</t>
  </si>
  <si>
    <t>FLOODLIGHT 250W HPS CWI</t>
  </si>
  <si>
    <t>0057404050</t>
  </si>
  <si>
    <t>FLOODLIGHT M V    400 W</t>
  </si>
  <si>
    <t>0057404600</t>
  </si>
  <si>
    <t>FLOODLIGHT 400W HPS CWI</t>
  </si>
  <si>
    <t>C11A</t>
  </si>
  <si>
    <t>0057408250</t>
  </si>
  <si>
    <t>FLOODLIGHT MTL HAL.250W</t>
  </si>
  <si>
    <t>D05B</t>
  </si>
  <si>
    <t>0057408500</t>
  </si>
  <si>
    <t>FLOODLIGHT 400W MTL-HAL CWI</t>
  </si>
  <si>
    <t>D03A</t>
  </si>
  <si>
    <t>0057409000</t>
  </si>
  <si>
    <t>FLOODLIGHT 1000W MH CWI</t>
  </si>
  <si>
    <t>0057409380</t>
  </si>
  <si>
    <t>FLOODLIGHT M V   1000 W</t>
  </si>
  <si>
    <t>0057600450</t>
  </si>
  <si>
    <t>BRACKET &amp; ADAPTORS</t>
  </si>
  <si>
    <t>0057601010</t>
  </si>
  <si>
    <t>CAP SHORTING TWIST LOCK</t>
  </si>
  <si>
    <t>0057601200</t>
  </si>
  <si>
    <t>CONTROL 120 V PHOTO</t>
  </si>
  <si>
    <t>0057601400</t>
  </si>
  <si>
    <t>CONTROL ELECT 120V PHOTOCELL</t>
  </si>
  <si>
    <t>0057602000</t>
  </si>
  <si>
    <t>PHOTO CONTROL 120V HD</t>
  </si>
  <si>
    <t>0057602400</t>
  </si>
  <si>
    <t>CONTROL 240V ELECT PHOTOCELL</t>
  </si>
  <si>
    <t>0057602960</t>
  </si>
  <si>
    <t>GUARD  WIRE FOR ST-LITE</t>
  </si>
  <si>
    <t>0057603800</t>
  </si>
  <si>
    <t>REFRACTOR GLASS</t>
  </si>
  <si>
    <t>0057603900</t>
  </si>
  <si>
    <t>REFRACTORS POLYCARBON #</t>
  </si>
  <si>
    <t>0057604020</t>
  </si>
  <si>
    <t>REFRACTOR POLY LU B2214</t>
  </si>
  <si>
    <t>0057604050</t>
  </si>
  <si>
    <t>REFRACTOR POLY LU B2217</t>
  </si>
  <si>
    <t>0057604080</t>
  </si>
  <si>
    <t>REFRACTOR POLYCARBON #9</t>
  </si>
  <si>
    <t>0057604170</t>
  </si>
  <si>
    <t>0057604200</t>
  </si>
  <si>
    <t>REFRACTOR ACRYLIC VB15</t>
  </si>
  <si>
    <t>0057604210</t>
  </si>
  <si>
    <t>REFRACTOR POLY LUM VB15</t>
  </si>
  <si>
    <t>0057604220</t>
  </si>
  <si>
    <t>REFRACTOR AREA LIGHT</t>
  </si>
  <si>
    <t>0057604240</t>
  </si>
  <si>
    <t>REFRACTOR GLASS  OV15</t>
  </si>
  <si>
    <t>0057604250</t>
  </si>
  <si>
    <t>REFRACTOR POLY LUM 0V15</t>
  </si>
  <si>
    <t>0057604255</t>
  </si>
  <si>
    <t>REFRACTOR STREETLIGHT OV</t>
  </si>
  <si>
    <t>0057604270</t>
  </si>
  <si>
    <t>REFRACTOR GLASS OV25</t>
  </si>
  <si>
    <t>0057604280</t>
  </si>
  <si>
    <t>REFRACTOR POLY  OV25</t>
  </si>
  <si>
    <t>0057604300</t>
  </si>
  <si>
    <t>REFRACTOR GLASS  OV50</t>
  </si>
  <si>
    <t>0057605800</t>
  </si>
  <si>
    <t>REDUCER  LAMPHOLDER,</t>
  </si>
  <si>
    <t>0057606100</t>
  </si>
  <si>
    <t>REFRACTOR   125 W   M V</t>
  </si>
  <si>
    <t>0057606500</t>
  </si>
  <si>
    <t>REFRACTOR   FOR SODIUM</t>
  </si>
  <si>
    <t>0057606550</t>
  </si>
  <si>
    <t>0057606700</t>
  </si>
  <si>
    <t>REFRACTOR   250 W   M V</t>
  </si>
  <si>
    <t>0057606950</t>
  </si>
  <si>
    <t>REFRACTOR   400 W   M V</t>
  </si>
  <si>
    <t>0057607300</t>
  </si>
  <si>
    <t>RELAY 30 AMP 110 V MURC</t>
  </si>
  <si>
    <t>0057607330</t>
  </si>
  <si>
    <t>RELAY 30 AMP 125 V</t>
  </si>
  <si>
    <t>0057607400</t>
  </si>
  <si>
    <t>RELAY 60 AMP 115 V</t>
  </si>
  <si>
    <t>0057607440</t>
  </si>
  <si>
    <t>RELAY 60 AMP 250 V</t>
  </si>
  <si>
    <t>0057608690</t>
  </si>
  <si>
    <t>STARTERS HPS LUMINAIRES</t>
  </si>
  <si>
    <t>0057608700</t>
  </si>
  <si>
    <t>STARTER FOR HPS 70-150W</t>
  </si>
  <si>
    <t>0057608703</t>
  </si>
  <si>
    <t>STARTER FOR HPS 55V</t>
  </si>
  <si>
    <t>0057608710</t>
  </si>
  <si>
    <t>STARTER FOR SODIUM</t>
  </si>
  <si>
    <t>0057608713</t>
  </si>
  <si>
    <t>STARTER KIT HPS 55V 70/</t>
  </si>
  <si>
    <t>0057608720</t>
  </si>
  <si>
    <t>STARTER FOR HPS 150-400</t>
  </si>
  <si>
    <t>0057608722</t>
  </si>
  <si>
    <t>STARTER FOR HPS 100V</t>
  </si>
  <si>
    <t>0057608730</t>
  </si>
  <si>
    <t>0065734220</t>
  </si>
  <si>
    <t>CABLE CU ST-LITE 2C #12</t>
  </si>
  <si>
    <t>Escalation Factor (Incandescent)</t>
  </si>
  <si>
    <t>Escalation Factor (Fluorescent)</t>
  </si>
  <si>
    <t>"APPROVED STREET &amp; CROSSWALK LIGHT RATES - EFFECTIVE APRIL 1, 2005"</t>
  </si>
  <si>
    <t>Rate Increase/(Decrease):</t>
  </si>
  <si>
    <t>NOVA SCOTIA POWER INC.</t>
  </si>
  <si>
    <t>STREET LIGHTING RATES - BY COST COMPONENT</t>
  </si>
  <si>
    <t>Rate</t>
  </si>
  <si>
    <t>Number of</t>
  </si>
  <si>
    <t>Power &amp;</t>
  </si>
  <si>
    <t>Bulbs</t>
  </si>
  <si>
    <t>kW.h / Month</t>
  </si>
  <si>
    <t>Energy</t>
  </si>
  <si>
    <t>1)</t>
  </si>
  <si>
    <t>Incandescent:</t>
  </si>
  <si>
    <t>300 Watts and Less</t>
  </si>
  <si>
    <t>Greater than 300 Watts</t>
  </si>
  <si>
    <t>2)</t>
  </si>
  <si>
    <t>Mercury Vapour:</t>
  </si>
  <si>
    <t>100 Watts</t>
  </si>
  <si>
    <t>125 Watts</t>
  </si>
  <si>
    <t>Operating &amp; Maint. Only</t>
  </si>
  <si>
    <t>175 Watts</t>
  </si>
  <si>
    <t>250 Watts</t>
  </si>
  <si>
    <t>Continuous Operation</t>
  </si>
  <si>
    <t>400 Watts</t>
  </si>
  <si>
    <t>700 Watts</t>
  </si>
  <si>
    <t>1000 Watts</t>
  </si>
  <si>
    <t>3)</t>
  </si>
  <si>
    <t>Fluorescent:</t>
  </si>
  <si>
    <t>Bulb Length</t>
  </si>
  <si>
    <t>24"</t>
  </si>
  <si>
    <t>48"</t>
  </si>
  <si>
    <t>72"</t>
  </si>
  <si>
    <t>96"</t>
  </si>
  <si>
    <t>4)</t>
  </si>
  <si>
    <t>Fluorescent Crosswalk:</t>
  </si>
  <si>
    <t>A) Continuous Burning - Operating Only</t>
  </si>
  <si>
    <t>B) Photocell Operation - Operating Only</t>
  </si>
  <si>
    <t>5)</t>
  </si>
  <si>
    <t>Low Pressure Sodium:</t>
  </si>
  <si>
    <t>Watts</t>
  </si>
  <si>
    <t>090</t>
  </si>
  <si>
    <t>135</t>
  </si>
  <si>
    <t>180</t>
  </si>
  <si>
    <t>6)</t>
  </si>
  <si>
    <t>High Intensity Sodium:</t>
  </si>
  <si>
    <t>070</t>
  </si>
  <si>
    <t>150</t>
  </si>
  <si>
    <t>250</t>
  </si>
  <si>
    <t>400</t>
  </si>
  <si>
    <t>7)</t>
  </si>
  <si>
    <t>Metallic Additive:</t>
  </si>
  <si>
    <t>0400</t>
  </si>
  <si>
    <t>1000</t>
  </si>
  <si>
    <t>0250</t>
  </si>
  <si>
    <t>8)</t>
  </si>
  <si>
    <t>Light Emitting Diode (LED) Less than 30 Watts for Traffic Control Signals only:</t>
  </si>
  <si>
    <t>Non- Continuous</t>
  </si>
  <si>
    <t>Continuous</t>
  </si>
  <si>
    <t>RATE CODE 41</t>
  </si>
  <si>
    <t>Outdoor Recreational Lighting Tariff:</t>
  </si>
  <si>
    <t>kWh</t>
  </si>
  <si>
    <t>UNPUBLISHED STREET LIGHT RATES:</t>
  </si>
  <si>
    <t>003</t>
  </si>
  <si>
    <t>35"</t>
  </si>
  <si>
    <t>70</t>
  </si>
  <si>
    <t>RATE COUNT:</t>
  </si>
  <si>
    <t>NOVA SCOTIA POWER INCORPORATED</t>
  </si>
  <si>
    <t>ANALYSIS OF ANNUAL STREET LIGHTING REVENUE</t>
  </si>
  <si>
    <t>ANALYSIS OF ANNUAL STREET LIGHTING ENERGY</t>
  </si>
  <si>
    <t>TOTAL PROVINCE</t>
  </si>
  <si>
    <t>POWER &amp; ENERGY</t>
  </si>
  <si>
    <t>MAINTENANCE</t>
  </si>
  <si>
    <t>CAPITAL</t>
  </si>
  <si>
    <t>Total Monthly</t>
  </si>
  <si>
    <t>Calculated Power &amp; Energy</t>
  </si>
  <si>
    <t>RATE</t>
  </si>
  <si>
    <t>UNITS</t>
  </si>
  <si>
    <t>REVENUE</t>
  </si>
  <si>
    <t>Usage/Mo.</t>
  </si>
  <si>
    <t>kWh Usage</t>
  </si>
  <si>
    <t>VARIANCE</t>
  </si>
  <si>
    <t>INCANDESCENT</t>
  </si>
  <si>
    <t>Rate Code: 001 &lt;300 Watts</t>
  </si>
  <si>
    <t>Rate Code: 002 &gt;300 Watts</t>
  </si>
  <si>
    <t>Rate Code: 003 &lt;300 Watts E/O</t>
  </si>
  <si>
    <t>MERCURY VAPOUR</t>
  </si>
  <si>
    <t>Rate Code: 100 100 Watts</t>
  </si>
  <si>
    <t>Rate Code: 101 125 Watts</t>
  </si>
  <si>
    <t>Rate Code: 102 175 Watts</t>
  </si>
  <si>
    <t>Rate Code: 103 250 Watts</t>
  </si>
  <si>
    <t>Rate Code: 104 400 Watts</t>
  </si>
  <si>
    <t>Rate Code: 105 700 Watts</t>
  </si>
  <si>
    <t>Rate Code: 106 1000 Watts</t>
  </si>
  <si>
    <t>Rate Code: 107 250 Watts</t>
  </si>
  <si>
    <t>Rate Code: 201 125 Watts</t>
  </si>
  <si>
    <t>Rate Code: 202 175 Watts</t>
  </si>
  <si>
    <t>Rate Code: 203 250 Watts</t>
  </si>
  <si>
    <t>Rate Code: 204 400 Watts</t>
  </si>
  <si>
    <t>Rate Code: 205 700 Watts</t>
  </si>
  <si>
    <t>Rate Code: 206 1000 Watts</t>
  </si>
  <si>
    <t>Rate Code: 301 125 Watts E/O</t>
  </si>
  <si>
    <t>Rate Code: 302 175 Watts E/O</t>
  </si>
  <si>
    <t>Rate Code: 303 250 Watts E/O</t>
  </si>
  <si>
    <t>Rate Code: 304 400 Watts E/O</t>
  </si>
  <si>
    <t>Rate Code: 305 700 Watts E/O</t>
  </si>
  <si>
    <t>Rate Code: 306 1000 Watts E/O</t>
  </si>
  <si>
    <t>FLUORESCENT</t>
  </si>
  <si>
    <t>Rate Code: 110 B/L 2x24"</t>
  </si>
  <si>
    <t>Rate Code: 111 B/L 2x48"</t>
  </si>
  <si>
    <t>Rate Code: 112 B/L 2x72"</t>
  </si>
  <si>
    <t>Rate Code: 113 B/L 4x72"</t>
  </si>
  <si>
    <t>Rate Code: 114 B/L 1x96"</t>
  </si>
  <si>
    <t>Rate Code: 115 B/L 1x72"</t>
  </si>
  <si>
    <t>Rate Code: 116 B/L 4x48"</t>
  </si>
  <si>
    <t>Rate Code: 213 B/L 4x72" E&amp;M</t>
  </si>
  <si>
    <t>Rate Code: 214 B/L 1x96" E&amp;M</t>
  </si>
  <si>
    <t>Rate Code: 215 B/L 1x72" E&amp;M</t>
  </si>
  <si>
    <t>Rate Code: 217 B/L 1x48" E&amp;M</t>
  </si>
  <si>
    <t>Rate Code: 218 B/L 2x48" E&amp;M</t>
  </si>
  <si>
    <t>Rate Code: 330 B/L 4x35" E/O</t>
  </si>
  <si>
    <t>FLUORESENT CROSSWALK</t>
  </si>
  <si>
    <t>Rate Code: 117 B/L 4x72"</t>
  </si>
  <si>
    <t>Rate Code: 118 B/L 2x24"</t>
  </si>
  <si>
    <t>Rate Code: 119 B/L 4x48"</t>
  </si>
  <si>
    <t>Rate Code: 120 B/L 2x96"</t>
  </si>
  <si>
    <t>Rate Code: 150 B/L 4x96"</t>
  </si>
  <si>
    <t>Rate Code: 310 B/L 2x24" E/O</t>
  </si>
  <si>
    <t>Rate Code: 311 B/L 4x48" E/O</t>
  </si>
  <si>
    <t>Rate Code: 312 B/L 2x96" E/O</t>
  </si>
  <si>
    <t>Rate Code: 313 B/L 4x72" E/O</t>
  </si>
  <si>
    <t>Rate Code: 314 B/L 1x96" E/O</t>
  </si>
  <si>
    <t>Rate Code: 315 B/L 1x72" E/O</t>
  </si>
  <si>
    <t>Rate Code: 350 B/L 4x96" E/O</t>
  </si>
  <si>
    <t>LOW PRESSURE SODIUM</t>
  </si>
  <si>
    <t>Rate Code: 132 90 Watts</t>
  </si>
  <si>
    <t>Rate Code: 130 135 Watts</t>
  </si>
  <si>
    <t>Rate Code: 131 180 Watts</t>
  </si>
  <si>
    <t>Rate Code: 231 180 Watts E&amp;M</t>
  </si>
  <si>
    <t>Rate Code: 331 180 Watts E/O</t>
  </si>
  <si>
    <t>Rate Code: 123 70 Watts</t>
  </si>
  <si>
    <t>Rate Code: 124 100 Watts</t>
  </si>
  <si>
    <t>Rate Code: 125 150 Watts</t>
  </si>
  <si>
    <t>Rate Code: 121 250 Watts</t>
  </si>
  <si>
    <t>Rate Code: 122 400 Watts</t>
  </si>
  <si>
    <t>Rate Code: 222 70 Watts E&amp;M</t>
  </si>
  <si>
    <t>Rate Code: 223 100 Watts E&amp;M</t>
  </si>
  <si>
    <t>Rate Code: 224 150 Watts E&amp;M</t>
  </si>
  <si>
    <t>Rate Code: 221 250 Watts E&amp;M</t>
  </si>
  <si>
    <t>Rate Code: 322 70 Watts E/O</t>
  </si>
  <si>
    <t>Rate Code: 323 100 Watts E/O</t>
  </si>
  <si>
    <t>Rate Code: 324 150 Watts E/O</t>
  </si>
  <si>
    <t>Rate Code: 321 250 Watts E/O</t>
  </si>
  <si>
    <t>Rate Code: 326 400 Watts E/O</t>
  </si>
  <si>
    <t>Rate Code: 327 500 Watts E/O</t>
  </si>
  <si>
    <t>METALLIC ADDITIVE</t>
  </si>
  <si>
    <t>Rate Code: 140 400 Watts</t>
  </si>
  <si>
    <t>Rate Code: 141 1000 Watts</t>
  </si>
  <si>
    <t>Rate Code: 142 250 Watts</t>
  </si>
  <si>
    <t>Rate Code: 343 250 Watts E/O</t>
  </si>
  <si>
    <t>Rate Code: 342 400 Watts E/O</t>
  </si>
  <si>
    <t>Rate Code: 341 1000 Watts E/O</t>
  </si>
  <si>
    <t>Rate Code: 344 175 Watts E/O</t>
  </si>
  <si>
    <t>Total Street Lights &amp; Crosswalks</t>
  </si>
  <si>
    <t>BASED ON 2005 RATES</t>
  </si>
  <si>
    <t>Rate Code: 216 B/L 4x48" E&amp;M</t>
  </si>
  <si>
    <t>Fluorescent  Crosswalk 4x72"</t>
  </si>
  <si>
    <t>Fluorescent  Crosswalk 2x24"</t>
  </si>
  <si>
    <t>Fluorescent  Crosswalk Cont. 4x72"</t>
  </si>
  <si>
    <t>Fluorescent  Crosswalk Cont. 2x24"</t>
  </si>
  <si>
    <t>Fluorescent  Crosswalk Cont. 4x48"</t>
  </si>
  <si>
    <t>Fluorescent  Crosswalk Cont. 2x96"</t>
  </si>
  <si>
    <t>Fluorescent  Crosswalk Cont. 4x96"</t>
  </si>
  <si>
    <t>Fluorescent  Crosswalk 2x72"</t>
  </si>
  <si>
    <t>Fluorescent  Crosswalk 1x96"</t>
  </si>
  <si>
    <t>Fluorescent  Crosswalk 1x72"</t>
  </si>
  <si>
    <t>HIGH PRESSURE SODIUM</t>
  </si>
  <si>
    <t>Rate Code: 143 150 Watts</t>
  </si>
  <si>
    <t>140/342</t>
  </si>
  <si>
    <t>141/341</t>
  </si>
  <si>
    <t>142/343</t>
  </si>
  <si>
    <t>High Pressure Sodium  250 Watts</t>
  </si>
  <si>
    <t>High Pressure Sodium  400 Watts</t>
  </si>
  <si>
    <t>High Pressure Sodium  70 Watts</t>
  </si>
  <si>
    <t>High Pressure Sodium  100 Watts</t>
  </si>
  <si>
    <t>High Pressure Sodium  150 Watts</t>
  </si>
  <si>
    <t>High Pressure Sodium  500 Watts</t>
  </si>
  <si>
    <t>122/326</t>
  </si>
  <si>
    <t>114/214</t>
  </si>
  <si>
    <t>115/215</t>
  </si>
  <si>
    <t>001/003</t>
  </si>
  <si>
    <t>September 2005</t>
  </si>
  <si>
    <t>AREA LIGHTING MATERIAL COST ANALYSIS</t>
  </si>
  <si>
    <t>Current</t>
  </si>
  <si>
    <t>Rates</t>
  </si>
  <si>
    <t>Percent</t>
  </si>
  <si>
    <t>Change</t>
  </si>
  <si>
    <t>Units</t>
  </si>
  <si>
    <t>Revenue</t>
  </si>
  <si>
    <t>Variance</t>
  </si>
  <si>
    <t>Fluorescent  2x24" 70 Watts</t>
  </si>
  <si>
    <t>Fluorescent  4x48" 440 Watts</t>
  </si>
  <si>
    <t>Fluorescent  4x72" 600 Watts</t>
  </si>
  <si>
    <t>Fluorescent  2x96"</t>
  </si>
  <si>
    <t>High Pressure Sodium :</t>
  </si>
  <si>
    <t>TOTALS</t>
  </si>
  <si>
    <t>Fluorescent Crosswalk - Photocell</t>
  </si>
  <si>
    <t>Fluorescent  Crosswalk 4x48"</t>
  </si>
  <si>
    <t>Fluorescent  1x96"</t>
  </si>
  <si>
    <t>Fluorescent  1x72"</t>
  </si>
  <si>
    <t>Low Pressure Sodium  180 Watts E&amp;M</t>
  </si>
  <si>
    <t>Low Pressure Sodium  180 Watts E/O</t>
  </si>
  <si>
    <t>Fluorescent  1x48"  120 Watts</t>
  </si>
  <si>
    <t>Fluorescent  2x48"</t>
  </si>
  <si>
    <t>Quantity</t>
  </si>
  <si>
    <t>101/201/301</t>
  </si>
  <si>
    <t>102/202/302</t>
  </si>
  <si>
    <t>Rate Code</t>
  </si>
  <si>
    <t>103/203/303</t>
  </si>
  <si>
    <t>104/204/304</t>
  </si>
  <si>
    <t>105/205/305</t>
  </si>
  <si>
    <t>106/206/306</t>
  </si>
  <si>
    <t>121/221/321</t>
  </si>
  <si>
    <t>123/222/322</t>
  </si>
  <si>
    <t>124/223/323</t>
  </si>
  <si>
    <t>125/224/324</t>
  </si>
  <si>
    <t>131/231/331</t>
  </si>
  <si>
    <t>(A)</t>
  </si>
  <si>
    <t>(B)</t>
  </si>
  <si>
    <t>(C)</t>
  </si>
  <si>
    <t>(D)</t>
  </si>
  <si>
    <t>(E)</t>
  </si>
  <si>
    <t>(F)</t>
  </si>
  <si>
    <t>(G)</t>
  </si>
  <si>
    <t>(H)</t>
  </si>
  <si>
    <t>CALCULATION OF MAINTENANCE COSTS BY FIXTURE TYPE</t>
  </si>
  <si>
    <t>Weighting Factors</t>
  </si>
  <si>
    <t># of Full Chg</t>
  </si>
  <si>
    <t>&amp; Eng.+Maint.</t>
  </si>
  <si>
    <t>Note 1:</t>
  </si>
  <si>
    <t>Maintenance weighting factors relative to High Pressure Sodium fixture, index = 1.0</t>
  </si>
  <si>
    <t>Street Lighting Maint. Expenses</t>
  </si>
  <si>
    <t>Annual Cost of High Pressure Sodium</t>
  </si>
  <si>
    <t>Factor is: HPS service life / various fixture service lives</t>
  </si>
  <si>
    <t>Gross Plant Value (including installation costs) less Retirements of</t>
  </si>
  <si>
    <t>Note: 2005 costs are based on stores material inventory cost as of September 2005 with the exception</t>
  </si>
  <si>
    <t xml:space="preserve">         of Incandescent and fluorescent which have been assumed at 125% of 1977 costs.</t>
  </si>
  <si>
    <t>Capital Cost Rate Component Calculation</t>
  </si>
  <si>
    <t>Inventory Level as of DECEMBER 2005</t>
  </si>
  <si>
    <t>High Pressure Sodium  1000 Watts</t>
  </si>
  <si>
    <t>452 (Kent.)</t>
  </si>
  <si>
    <t>Note 1 - Incandescent rates were set at 250W and 400W Mercury Vapour</t>
  </si>
  <si>
    <t>Rate Code: 345 150 Watts E/O</t>
  </si>
  <si>
    <t>COMPARISON OF NEW PROPOSED  VS  CURRENT STREET LIGHTING RATES</t>
  </si>
  <si>
    <t>2006</t>
  </si>
  <si>
    <t>"APPROVED STREET &amp; CROSSWALK LIGHT RATES - EFFECTIVE MARCH 10, 2006"</t>
  </si>
  <si>
    <t>BASED ON 2006 RATES</t>
  </si>
  <si>
    <t xml:space="preserve">Increase over 2005 Rates </t>
  </si>
  <si>
    <t>Total Annual</t>
  </si>
  <si>
    <t>Rate Code: 452 1000 Watts</t>
  </si>
  <si>
    <t>Approved</t>
  </si>
  <si>
    <t>Demand Charge - $8.41/kW</t>
  </si>
  <si>
    <t>1st Block : $.0956 for 1st 200 kW.h</t>
  </si>
  <si>
    <t>2nd Block : $.0632 for all additional</t>
  </si>
  <si>
    <t>ANALYSIS OF ANNUAL STREET LIGHTING POWER &amp; ENERGY</t>
  </si>
  <si>
    <t>Street Lighting Equipment as of December 31, 2005</t>
  </si>
  <si>
    <t>"PROPOSED STREET &amp; CROSSWALK LIGHT RATES - EFFECTIVE JANUARY 1, 2007"</t>
  </si>
  <si>
    <t>EFFECTIVE JANUARY 1, 2007</t>
  </si>
  <si>
    <t>BASED ON 2007 PROPOSED RATES</t>
  </si>
  <si>
    <t xml:space="preserve">Increase over 2006 Rates </t>
  </si>
  <si>
    <t>Proposed</t>
  </si>
  <si>
    <t>2007 New</t>
  </si>
  <si>
    <t>2007 Old</t>
  </si>
  <si>
    <t>113/213</t>
  </si>
  <si>
    <t>Based on Misc. Small Loads Tariff Rate Components &amp; 1kW lighting load</t>
  </si>
  <si>
    <t>Calculation of Power &amp; Energy Rate :</t>
  </si>
  <si>
    <t>Photocell Operation (4000 burning hours per year)</t>
  </si>
  <si>
    <t>Continuous Burning (8760 burning hours per year)</t>
  </si>
  <si>
    <t>Demand Charge (annual)</t>
  </si>
  <si>
    <t>1st Block : 1st 200 kW.h (annual)</t>
  </si>
  <si>
    <t>2nd Block : All additional (annual)</t>
  </si>
  <si>
    <t>COMPARISON OF NEW PROPOSED  VS  OLD PROPOSED STREET LIGHTING RATES</t>
  </si>
  <si>
    <t>High Pressure Sodium:</t>
  </si>
  <si>
    <t>2006 New</t>
  </si>
  <si>
    <t>Tax-Adjusted Weighted Average Cost of Capital</t>
  </si>
  <si>
    <t>a) Weighted Average Cost of Capital - Pretax</t>
  </si>
  <si>
    <t>Proportion</t>
  </si>
  <si>
    <t>Extended</t>
  </si>
  <si>
    <t>ST Debt</t>
  </si>
  <si>
    <t>LT Debt</t>
  </si>
  <si>
    <t>Preferred</t>
  </si>
  <si>
    <t>Common</t>
  </si>
  <si>
    <t>WACC - pretax cost</t>
  </si>
  <si>
    <t>b) Additional income tax for common equity</t>
  </si>
  <si>
    <t>Extended equity cost</t>
  </si>
  <si>
    <t>Income tax</t>
  </si>
  <si>
    <t>WACC - equity tax cost</t>
  </si>
  <si>
    <t>c) Large Corporations Tax</t>
  </si>
  <si>
    <t>Provincial capital tax</t>
  </si>
  <si>
    <t>Federal capital tax</t>
  </si>
  <si>
    <t>Ave. NBV - Assigned GP Plt.</t>
  </si>
  <si>
    <t>Ave. Deferred Chgs &amp; W/C</t>
  </si>
  <si>
    <t>Percentage of NBV</t>
  </si>
  <si>
    <t>WACC - Large Corporations Tax</t>
  </si>
  <si>
    <t>d) Grants in Lieu of Property Tax</t>
  </si>
  <si>
    <t>WACC - Grants in Lieu of Property Tax</t>
  </si>
  <si>
    <t>Total WACC - Interest / Carrying Cost</t>
  </si>
  <si>
    <r>
      <t xml:space="preserve">Effective tax rate </t>
    </r>
    <r>
      <rPr>
        <sz val="9"/>
        <rFont val="Arial"/>
        <family val="2"/>
      </rPr>
      <t>(excluding surtax)</t>
    </r>
  </si>
  <si>
    <t>Determination of Assigned and Average Fixed Assets</t>
  </si>
  <si>
    <t>End of year</t>
  </si>
  <si>
    <t>AVERAGE</t>
  </si>
  <si>
    <t>Current &amp; Long Term Assets</t>
  </si>
  <si>
    <t>Accounts Receivable</t>
  </si>
  <si>
    <t>Materials Inventory</t>
  </si>
  <si>
    <t>Prepaid Expenses</t>
  </si>
  <si>
    <t>Due From Associated Companies</t>
  </si>
  <si>
    <t>Deferred Charges</t>
  </si>
  <si>
    <t>Deferred Credits</t>
  </si>
  <si>
    <t>Accounts Payable</t>
  </si>
  <si>
    <t>Dividends Payable</t>
  </si>
  <si>
    <t>Income Taxes Payable</t>
  </si>
  <si>
    <t>Total Assigned to Fixed Assets</t>
  </si>
  <si>
    <t>GPV - Steam Production</t>
  </si>
  <si>
    <t>GPV - Hydro</t>
  </si>
  <si>
    <t>GPV - Wind</t>
  </si>
  <si>
    <t>GPV - Gas Turbine</t>
  </si>
  <si>
    <t>GPV - LM 6000</t>
  </si>
  <si>
    <t>GPV Transmission</t>
  </si>
  <si>
    <t>GPV Distribution</t>
  </si>
  <si>
    <t>GPV General Property</t>
  </si>
  <si>
    <t>Total GPV of Fixed Assets</t>
  </si>
  <si>
    <t>NPV - Steam Production</t>
  </si>
  <si>
    <t>NPV - Hydro</t>
  </si>
  <si>
    <t>NPV - Wind</t>
  </si>
  <si>
    <t>NPV - Gas Turbine</t>
  </si>
  <si>
    <t>NPV - LM 6000</t>
  </si>
  <si>
    <t>NPV Transmission</t>
  </si>
  <si>
    <t>NPV Distribution</t>
  </si>
  <si>
    <t>NPV General Property</t>
  </si>
  <si>
    <t>Total NPV of Fixed Assets</t>
  </si>
  <si>
    <t>Ave. NBV - Street Lighting</t>
  </si>
  <si>
    <t>Rate Base</t>
  </si>
  <si>
    <t xml:space="preserve">  -- Street Lights</t>
  </si>
  <si>
    <t>St. Lgts. % of Total Electric Plant</t>
  </si>
  <si>
    <t>St. Lgts. Allocated Amount</t>
  </si>
  <si>
    <t xml:space="preserve">  -- Street Lighting</t>
  </si>
  <si>
    <t xml:space="preserve"> % Allocated To Street Lighting</t>
  </si>
  <si>
    <t>Additional Deferred Chgs. &amp; W/C assigned to Street Lighting</t>
  </si>
  <si>
    <t>% of Street Lighting to Dist. Assets</t>
  </si>
  <si>
    <t>% Street Lighting to Total Assets</t>
  </si>
  <si>
    <t>NPV - Total Street Lighting</t>
  </si>
  <si>
    <t>Tax Adjusted Weighted Average Cost of Capital</t>
  </si>
  <si>
    <t>DETAIL BY COST COMPONENT</t>
  </si>
  <si>
    <t>High Pressure Sodium 150W</t>
  </si>
  <si>
    <t>Low Pressure Sodium 90W</t>
  </si>
  <si>
    <t>2005</t>
  </si>
  <si>
    <t>As of April 1, 2005</t>
  </si>
  <si>
    <t>at Apr. 1/2005</t>
  </si>
  <si>
    <t>SCHEDULE 1</t>
  </si>
  <si>
    <t>STREET / CROSSWALK LIGHTING STUDY</t>
  </si>
  <si>
    <t>SCHEDULE 2</t>
  </si>
  <si>
    <t>SCHEDULE 3</t>
  </si>
  <si>
    <t>SCHEDULE 4</t>
  </si>
  <si>
    <t>SCHEDULE 5</t>
  </si>
  <si>
    <t>SCHEDULE 6</t>
  </si>
  <si>
    <t>SCHEDULE 7</t>
  </si>
  <si>
    <t>SCHEDULE 8</t>
  </si>
  <si>
    <t>LAMP LIFE ANALYSIS</t>
  </si>
  <si>
    <t>SCHEDULE 9</t>
  </si>
  <si>
    <t>(from 2006CF COSS, Exhibit 6A)</t>
  </si>
  <si>
    <t>($4,916,000 / 131,028 weighted fixtures)</t>
  </si>
  <si>
    <t>High Pressure (Intensity) Sodium (Note1)</t>
  </si>
  <si>
    <t>Depreciation Rate for 2006</t>
  </si>
  <si>
    <t>Total 200CF Forecasted Expense</t>
  </si>
  <si>
    <t>EFFECTIVE: MARCH 10, 2006</t>
  </si>
  <si>
    <t>Weighted</t>
  </si>
  <si>
    <t>All Average Rated Life Spans are as indicated in the CEA Lighting Reference Guide, April 1992.</t>
  </si>
  <si>
    <t>(CEA = Canadian Electrical Association)</t>
  </si>
  <si>
    <t>Originally printed by Ontario Hydro (4th Edition)</t>
  </si>
  <si>
    <t>Resulting</t>
  </si>
  <si>
    <t>2006C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</si>
</sst>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164" formatCode="#,##0.0000"/>
    <numFmt numFmtId="165" formatCode="[$$-1009]#,##0.00"/>
    <numFmt numFmtId="166" formatCode="[$$-1009]#,##0"/>
    <numFmt numFmtId="167" formatCode="[$$-1009]#,##0.000000"/>
    <numFmt numFmtId="168" formatCode="#,##0.0_);\(#,##0.0\)"/>
    <numFmt numFmtId="169" formatCode="0.0000"/>
    <numFmt numFmtId="170" formatCode="&quot;$&quot;#,##0.00"/>
    <numFmt numFmtId="171" formatCode="#,##0.00_);\-#,##0.00"/>
    <numFmt numFmtId="172" formatCode="0.0"/>
    <numFmt numFmtId="173" formatCode="&quot;$&quot;#,##0.0000"/>
    <numFmt numFmtId="174" formatCode="0.0%"/>
    <numFmt numFmtId="175" formatCode="#,##0.000_);\(#,##0.000\)"/>
    <numFmt numFmtId="176" formatCode="[$$-1009]#,##0.0000000"/>
    <numFmt numFmtId="177" formatCode="&quot;$&quot;#,##0.000"/>
    <numFmt numFmtId="178" formatCode="#,##0.000"/>
    <numFmt numFmtId="179" formatCode="&quot;$&quot;#,##0.000_);\(&quot;$&quot;#,##0.000\)"/>
    <numFmt numFmtId="180" formatCode="0.000%"/>
    <numFmt numFmtId="181" formatCode="_(* #,##0.0_);_(* \(#,##0.0\);_(* &quot;-&quot;?_);_(@_)"/>
  </numFmts>
  <fonts count="66">
    <font>
      <sz val="12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8"/>
      <name val="MS Sans Serif"/>
      <family val="2"/>
    </font>
    <font>
      <b/>
      <sz val="10"/>
      <color indexed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u val="double"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9"/>
      <name val="Arial"/>
      <family val="2"/>
    </font>
    <font>
      <b/>
      <i/>
      <u/>
      <sz val="10"/>
      <color indexed="10"/>
      <name val="Arial"/>
      <family val="2"/>
    </font>
    <font>
      <b/>
      <u/>
      <sz val="10"/>
      <name val="Arial"/>
      <family val="2"/>
    </font>
    <font>
      <b/>
      <sz val="12"/>
      <color indexed="8"/>
      <name val="Arial MT"/>
    </font>
    <font>
      <sz val="12"/>
      <color indexed="8"/>
      <name val="Arial MT"/>
    </font>
    <font>
      <b/>
      <sz val="10"/>
      <color indexed="8"/>
      <name val="Arial MT"/>
    </font>
    <font>
      <sz val="10"/>
      <color indexed="8"/>
      <name val="Arial MT"/>
    </font>
    <font>
      <b/>
      <u/>
      <sz val="10"/>
      <color indexed="8"/>
      <name val="Arial MT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10"/>
      <name val="Arial"/>
      <family val="2"/>
    </font>
    <font>
      <b/>
      <i/>
      <u/>
      <sz val="12"/>
      <color indexed="10"/>
      <name val="Arial"/>
      <family val="2"/>
    </font>
    <font>
      <b/>
      <i/>
      <sz val="12"/>
      <color indexed="10"/>
      <name val="Arial"/>
      <family val="2"/>
    </font>
    <font>
      <b/>
      <sz val="16"/>
      <name val="Arial"/>
      <family val="2"/>
    </font>
    <font>
      <b/>
      <i/>
      <sz val="10"/>
      <color indexed="9"/>
      <name val="Arial"/>
      <family val="2"/>
    </font>
    <font>
      <b/>
      <sz val="12"/>
      <color indexed="10"/>
      <name val="Arial"/>
      <family val="2"/>
    </font>
    <font>
      <b/>
      <u/>
      <sz val="12"/>
      <color indexed="10"/>
      <name val="Arial"/>
      <family val="2"/>
    </font>
    <font>
      <b/>
      <i/>
      <u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0"/>
      <color indexed="8"/>
      <name val="MS Sans Serif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9" fillId="0" borderId="0"/>
    <xf numFmtId="0" fontId="15" fillId="0" borderId="0"/>
    <xf numFmtId="3" fontId="20" fillId="0" borderId="0" applyNumberFormat="0"/>
    <xf numFmtId="0" fontId="19" fillId="0" borderId="0"/>
    <xf numFmtId="3" fontId="20" fillId="0" borderId="0" applyNumberFormat="0"/>
    <xf numFmtId="40" fontId="50" fillId="2" borderId="0">
      <alignment horizontal="right"/>
    </xf>
    <xf numFmtId="0" fontId="51" fillId="2" borderId="0">
      <alignment horizontal="right"/>
    </xf>
    <xf numFmtId="0" fontId="52" fillId="2" borderId="1"/>
    <xf numFmtId="0" fontId="52" fillId="0" borderId="0" applyBorder="0">
      <alignment horizontal="centerContinuous"/>
    </xf>
    <xf numFmtId="0" fontId="53" fillId="0" borderId="0" applyBorder="0">
      <alignment horizontal="centerContinuous"/>
    </xf>
    <xf numFmtId="9" fontId="14" fillId="0" borderId="0" applyFont="0" applyFill="0" applyBorder="0" applyAlignment="0" applyProtection="0"/>
  </cellStyleXfs>
  <cellXfs count="532">
    <xf numFmtId="0" fontId="0" fillId="0" borderId="0" xfId="0"/>
    <xf numFmtId="0" fontId="3" fillId="0" borderId="0" xfId="0" applyNumberFormat="1" applyFont="1" applyAlignment="1"/>
    <xf numFmtId="0" fontId="4" fillId="0" borderId="0" xfId="0" applyNumberFormat="1" applyFont="1" applyAlignment="1">
      <alignment horizontal="centerContinuous"/>
    </xf>
    <xf numFmtId="0" fontId="3" fillId="0" borderId="0" xfId="0" applyNumberFormat="1" applyFont="1"/>
    <xf numFmtId="0" fontId="4" fillId="0" borderId="0" xfId="0" applyNumberFormat="1" applyFont="1" applyAlignment="1"/>
    <xf numFmtId="0" fontId="4" fillId="0" borderId="2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/>
    <xf numFmtId="3" fontId="3" fillId="0" borderId="0" xfId="0" applyNumberFormat="1" applyFont="1"/>
    <xf numFmtId="3" fontId="6" fillId="0" borderId="0" xfId="0" applyNumberFormat="1" applyFont="1" applyAlignment="1"/>
    <xf numFmtId="3" fontId="7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165" fontId="5" fillId="0" borderId="0" xfId="0" applyNumberFormat="1" applyFont="1" applyAlignment="1"/>
    <xf numFmtId="4" fontId="3" fillId="0" borderId="0" xfId="0" applyNumberFormat="1" applyFont="1"/>
    <xf numFmtId="4" fontId="5" fillId="0" borderId="0" xfId="0" applyNumberFormat="1" applyFont="1" applyAlignment="1"/>
    <xf numFmtId="0" fontId="7" fillId="0" borderId="0" xfId="0" applyNumberFormat="1" applyFont="1" applyAlignment="1">
      <alignment horizontal="center"/>
    </xf>
    <xf numFmtId="3" fontId="9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9" fillId="0" borderId="0" xfId="0" applyNumberFormat="1" applyFont="1" applyAlignment="1"/>
    <xf numFmtId="3" fontId="3" fillId="0" borderId="0" xfId="0" applyNumberFormat="1" applyFont="1" applyAlignment="1"/>
    <xf numFmtId="0" fontId="4" fillId="0" borderId="4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Continuous"/>
    </xf>
    <xf numFmtId="0" fontId="3" fillId="0" borderId="7" xfId="0" applyNumberFormat="1" applyFont="1" applyBorder="1" applyAlignment="1">
      <alignment horizontal="centerContinuous"/>
    </xf>
    <xf numFmtId="3" fontId="9" fillId="0" borderId="0" xfId="0" applyNumberFormat="1" applyFont="1"/>
    <xf numFmtId="3" fontId="6" fillId="0" borderId="0" xfId="0" applyNumberFormat="1" applyFont="1"/>
    <xf numFmtId="0" fontId="12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170" fontId="3" fillId="0" borderId="0" xfId="0" applyNumberFormat="1" applyFont="1" applyAlignment="1"/>
    <xf numFmtId="0" fontId="4" fillId="0" borderId="8" xfId="0" applyNumberFormat="1" applyFont="1" applyBorder="1" applyAlignment="1"/>
    <xf numFmtId="0" fontId="3" fillId="0" borderId="9" xfId="0" applyNumberFormat="1" applyFont="1" applyBorder="1" applyAlignment="1"/>
    <xf numFmtId="0" fontId="3" fillId="0" borderId="10" xfId="0" applyNumberFormat="1" applyFont="1" applyBorder="1" applyAlignment="1"/>
    <xf numFmtId="0" fontId="4" fillId="0" borderId="11" xfId="0" applyNumberFormat="1" applyFont="1" applyBorder="1" applyAlignment="1"/>
    <xf numFmtId="0" fontId="3" fillId="0" borderId="0" xfId="0" applyNumberFormat="1" applyFont="1" applyBorder="1" applyAlignment="1"/>
    <xf numFmtId="0" fontId="3" fillId="0" borderId="1" xfId="0" applyNumberFormat="1" applyFont="1" applyBorder="1" applyAlignment="1"/>
    <xf numFmtId="0" fontId="8" fillId="0" borderId="11" xfId="0" applyNumberFormat="1" applyFont="1" applyBorder="1" applyAlignment="1"/>
    <xf numFmtId="0" fontId="5" fillId="0" borderId="11" xfId="0" applyNumberFormat="1" applyFont="1" applyBorder="1" applyAlignment="1"/>
    <xf numFmtId="169" fontId="3" fillId="0" borderId="0" xfId="0" applyNumberFormat="1" applyFont="1" applyBorder="1" applyAlignment="1"/>
    <xf numFmtId="0" fontId="3" fillId="0" borderId="11" xfId="0" applyNumberFormat="1" applyFont="1" applyBorder="1" applyAlignment="1"/>
    <xf numFmtId="0" fontId="5" fillId="0" borderId="12" xfId="0" applyNumberFormat="1" applyFont="1" applyBorder="1" applyAlignment="1"/>
    <xf numFmtId="0" fontId="3" fillId="0" borderId="13" xfId="0" applyNumberFormat="1" applyFont="1" applyBorder="1" applyAlignment="1"/>
    <xf numFmtId="0" fontId="17" fillId="0" borderId="14" xfId="2" applyNumberFormat="1" applyFont="1" applyFill="1" applyBorder="1" applyAlignment="1" applyProtection="1">
      <alignment horizontal="center"/>
    </xf>
    <xf numFmtId="0" fontId="15" fillId="0" borderId="0" xfId="2" applyNumberFormat="1" applyFill="1" applyBorder="1" applyAlignment="1" applyProtection="1"/>
    <xf numFmtId="0" fontId="17" fillId="0" borderId="15" xfId="2" applyNumberFormat="1" applyFont="1" applyFill="1" applyBorder="1" applyAlignment="1" applyProtection="1">
      <alignment horizontal="center"/>
    </xf>
    <xf numFmtId="170" fontId="15" fillId="0" borderId="16" xfId="2" applyNumberFormat="1" applyFill="1" applyBorder="1" applyAlignment="1" applyProtection="1"/>
    <xf numFmtId="0" fontId="18" fillId="0" borderId="16" xfId="2" applyNumberFormat="1" applyFont="1" applyBorder="1" applyAlignment="1"/>
    <xf numFmtId="0" fontId="21" fillId="0" borderId="0" xfId="4" applyFont="1"/>
    <xf numFmtId="0" fontId="19" fillId="0" borderId="0" xfId="4"/>
    <xf numFmtId="0" fontId="21" fillId="0" borderId="0" xfId="4" applyFont="1" applyAlignment="1">
      <alignment horizontal="right"/>
    </xf>
    <xf numFmtId="0" fontId="1" fillId="0" borderId="14" xfId="4" applyFont="1" applyBorder="1" applyAlignment="1">
      <alignment horizontal="center"/>
    </xf>
    <xf numFmtId="0" fontId="1" fillId="0" borderId="15" xfId="4" applyFont="1" applyBorder="1" applyAlignment="1">
      <alignment horizontal="center"/>
    </xf>
    <xf numFmtId="0" fontId="19" fillId="0" borderId="16" xfId="4" applyBorder="1"/>
    <xf numFmtId="1" fontId="19" fillId="0" borderId="16" xfId="4" applyNumberFormat="1" applyBorder="1"/>
    <xf numFmtId="172" fontId="19" fillId="0" borderId="16" xfId="4" applyNumberFormat="1" applyBorder="1"/>
    <xf numFmtId="2" fontId="19" fillId="0" borderId="16" xfId="4" applyNumberFormat="1" applyBorder="1"/>
    <xf numFmtId="3" fontId="3" fillId="0" borderId="0" xfId="0" applyNumberFormat="1" applyFont="1" applyBorder="1" applyAlignment="1"/>
    <xf numFmtId="3" fontId="3" fillId="0" borderId="13" xfId="0" applyNumberFormat="1" applyFont="1" applyBorder="1" applyAlignment="1"/>
    <xf numFmtId="0" fontId="19" fillId="0" borderId="0" xfId="4" applyFont="1"/>
    <xf numFmtId="0" fontId="22" fillId="0" borderId="0" xfId="2" applyNumberFormat="1" applyFont="1" applyFill="1" applyBorder="1" applyAlignment="1" applyProtection="1"/>
    <xf numFmtId="0" fontId="23" fillId="0" borderId="16" xfId="2" applyFont="1" applyBorder="1" applyAlignment="1">
      <alignment horizontal="left" vertical="center"/>
    </xf>
    <xf numFmtId="0" fontId="23" fillId="0" borderId="16" xfId="2" applyFont="1" applyBorder="1" applyAlignment="1">
      <alignment horizontal="right" vertical="center"/>
    </xf>
    <xf numFmtId="0" fontId="22" fillId="0" borderId="16" xfId="2" applyNumberFormat="1" applyFont="1" applyFill="1" applyBorder="1" applyAlignment="1" applyProtection="1"/>
    <xf numFmtId="0" fontId="22" fillId="0" borderId="16" xfId="2" applyFont="1" applyBorder="1" applyAlignment="1">
      <alignment vertical="center"/>
    </xf>
    <xf numFmtId="171" fontId="22" fillId="0" borderId="16" xfId="2" applyNumberFormat="1" applyFont="1" applyBorder="1" applyAlignment="1">
      <alignment horizontal="right" vertical="center"/>
    </xf>
    <xf numFmtId="0" fontId="24" fillId="0" borderId="0" xfId="0" quotePrefix="1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10" fillId="0" borderId="0" xfId="0" applyFont="1"/>
    <xf numFmtId="10" fontId="21" fillId="3" borderId="17" xfId="0" applyNumberFormat="1" applyFont="1" applyFill="1" applyBorder="1"/>
    <xf numFmtId="0" fontId="26" fillId="0" borderId="0" xfId="0" applyFont="1"/>
    <xf numFmtId="0" fontId="10" fillId="0" borderId="0" xfId="0" applyFont="1" applyAlignment="1">
      <alignment horizontal="centerContinuous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0" fillId="0" borderId="0" xfId="0" quotePrefix="1"/>
    <xf numFmtId="0" fontId="21" fillId="0" borderId="0" xfId="0" applyFont="1"/>
    <xf numFmtId="39" fontId="0" fillId="0" borderId="0" xfId="0" applyNumberFormat="1"/>
    <xf numFmtId="0" fontId="0" fillId="0" borderId="0" xfId="0" applyAlignment="1">
      <alignment horizontal="center"/>
    </xf>
    <xf numFmtId="0" fontId="28" fillId="0" borderId="0" xfId="0" applyFont="1"/>
    <xf numFmtId="0" fontId="27" fillId="0" borderId="0" xfId="0" applyFont="1"/>
    <xf numFmtId="0" fontId="28" fillId="0" borderId="0" xfId="0" applyNumberFormat="1" applyFont="1"/>
    <xf numFmtId="39" fontId="28" fillId="0" borderId="0" xfId="0" applyNumberFormat="1" applyFont="1"/>
    <xf numFmtId="0" fontId="28" fillId="0" borderId="0" xfId="0" quotePrefix="1" applyFont="1"/>
    <xf numFmtId="0" fontId="28" fillId="0" borderId="0" xfId="0" quotePrefix="1" applyFont="1" applyAlignment="1">
      <alignment horizontal="center"/>
    </xf>
    <xf numFmtId="7" fontId="28" fillId="0" borderId="0" xfId="0" applyNumberFormat="1" applyFont="1"/>
    <xf numFmtId="0" fontId="21" fillId="0" borderId="16" xfId="0" applyFont="1" applyBorder="1" applyAlignment="1">
      <alignment horizontal="center"/>
    </xf>
    <xf numFmtId="0" fontId="21" fillId="0" borderId="18" xfId="0" applyFont="1" applyBorder="1"/>
    <xf numFmtId="0" fontId="21" fillId="0" borderId="19" xfId="0" quotePrefix="1" applyFont="1" applyBorder="1" applyAlignment="1">
      <alignment horizontal="center"/>
    </xf>
    <xf numFmtId="0" fontId="0" fillId="0" borderId="19" xfId="0" applyBorder="1"/>
    <xf numFmtId="173" fontId="21" fillId="0" borderId="19" xfId="0" applyNumberFormat="1" applyFont="1" applyBorder="1"/>
    <xf numFmtId="0" fontId="21" fillId="0" borderId="20" xfId="0" quotePrefix="1" applyNumberFormat="1" applyFont="1" applyBorder="1"/>
    <xf numFmtId="0" fontId="29" fillId="0" borderId="0" xfId="0" applyFont="1"/>
    <xf numFmtId="0" fontId="30" fillId="0" borderId="0" xfId="0" applyFont="1"/>
    <xf numFmtId="0" fontId="30" fillId="0" borderId="0" xfId="0" quotePrefix="1" applyFont="1" applyAlignment="1">
      <alignment horizontal="center"/>
    </xf>
    <xf numFmtId="7" fontId="30" fillId="0" borderId="0" xfId="0" applyNumberFormat="1" applyFont="1"/>
    <xf numFmtId="0" fontId="30" fillId="0" borderId="0" xfId="0" applyFont="1" applyAlignment="1">
      <alignment horizontal="center"/>
    </xf>
    <xf numFmtId="39" fontId="30" fillId="0" borderId="0" xfId="0" applyNumberFormat="1" applyFont="1"/>
    <xf numFmtId="39" fontId="31" fillId="4" borderId="0" xfId="0" applyNumberFormat="1" applyFont="1" applyFill="1"/>
    <xf numFmtId="0" fontId="32" fillId="0" borderId="0" xfId="0" applyFont="1"/>
    <xf numFmtId="0" fontId="30" fillId="0" borderId="0" xfId="0" quotePrefix="1" applyFont="1"/>
    <xf numFmtId="0" fontId="30" fillId="0" borderId="0" xfId="0" quotePrefix="1" applyFont="1" applyAlignment="1">
      <alignment horizontal="left"/>
    </xf>
    <xf numFmtId="7" fontId="31" fillId="4" borderId="0" xfId="0" applyNumberFormat="1" applyFont="1" applyFill="1"/>
    <xf numFmtId="0" fontId="21" fillId="0" borderId="0" xfId="0" applyFont="1" applyBorder="1"/>
    <xf numFmtId="0" fontId="21" fillId="3" borderId="17" xfId="0" applyFont="1" applyFill="1" applyBorder="1" applyAlignment="1">
      <alignment horizontal="center"/>
    </xf>
    <xf numFmtId="0" fontId="19" fillId="0" borderId="0" xfId="0" applyFont="1"/>
    <xf numFmtId="0" fontId="19" fillId="0" borderId="0" xfId="0" quotePrefix="1" applyFont="1" applyAlignment="1">
      <alignment horizontal="center"/>
    </xf>
    <xf numFmtId="7" fontId="19" fillId="0" borderId="0" xfId="0" applyNumberFormat="1" applyFont="1"/>
    <xf numFmtId="39" fontId="19" fillId="0" borderId="0" xfId="0" applyNumberFormat="1" applyFont="1"/>
    <xf numFmtId="0" fontId="1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9" fillId="0" borderId="0" xfId="0" applyNumberFormat="1" applyFont="1"/>
    <xf numFmtId="0" fontId="2" fillId="0" borderId="0" xfId="0" quotePrefix="1" applyFont="1"/>
    <xf numFmtId="0" fontId="1" fillId="0" borderId="0" xfId="0" quotePrefix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19" fillId="0" borderId="0" xfId="0" quotePrefix="1" applyFont="1"/>
    <xf numFmtId="0" fontId="19" fillId="0" borderId="0" xfId="0" quotePrefix="1" applyFont="1" applyAlignment="1">
      <alignment horizontal="left"/>
    </xf>
    <xf numFmtId="0" fontId="26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 applyProtection="1">
      <alignment horizontal="centerContinuous"/>
      <protection locked="0"/>
    </xf>
    <xf numFmtId="0" fontId="34" fillId="0" borderId="0" xfId="0" applyFont="1" applyFill="1" applyAlignment="1" applyProtection="1">
      <alignment horizontal="centerContinuous" wrapText="1"/>
      <protection locked="0"/>
    </xf>
    <xf numFmtId="0" fontId="0" fillId="0" borderId="0" xfId="0" applyAlignment="1">
      <alignment horizontal="centerContinuous"/>
    </xf>
    <xf numFmtId="0" fontId="35" fillId="0" borderId="0" xfId="0" applyFont="1" applyFill="1" applyAlignment="1" applyProtection="1">
      <alignment horizontal="right" wrapText="1"/>
      <protection locked="0"/>
    </xf>
    <xf numFmtId="0" fontId="22" fillId="0" borderId="0" xfId="0" applyFont="1" applyFill="1" applyAlignment="1" applyProtection="1">
      <alignment horizontal="right" wrapText="1"/>
      <protection locked="0"/>
    </xf>
    <xf numFmtId="0" fontId="36" fillId="0" borderId="18" xfId="0" applyFont="1" applyFill="1" applyBorder="1" applyAlignment="1" applyProtection="1">
      <alignment horizontal="centerContinuous" wrapText="1"/>
      <protection locked="0"/>
    </xf>
    <xf numFmtId="0" fontId="36" fillId="0" borderId="19" xfId="0" applyFont="1" applyFill="1" applyBorder="1" applyAlignment="1" applyProtection="1">
      <alignment horizontal="centerContinuous" wrapText="1"/>
      <protection locked="0"/>
    </xf>
    <xf numFmtId="0" fontId="36" fillId="0" borderId="20" xfId="0" applyFont="1" applyFill="1" applyBorder="1" applyAlignment="1" applyProtection="1">
      <alignment horizontal="centerContinuous" wrapText="1"/>
      <protection locked="0"/>
    </xf>
    <xf numFmtId="0" fontId="37" fillId="0" borderId="20" xfId="0" applyFont="1" applyFill="1" applyBorder="1" applyAlignment="1" applyProtection="1">
      <alignment horizontal="centerContinuous" wrapText="1"/>
      <protection locked="0"/>
    </xf>
    <xf numFmtId="0" fontId="36" fillId="0" borderId="16" xfId="0" applyFont="1" applyFill="1" applyBorder="1" applyAlignment="1" applyProtection="1">
      <alignment horizontal="center" wrapText="1"/>
      <protection locked="0"/>
    </xf>
    <xf numFmtId="0" fontId="1" fillId="0" borderId="14" xfId="0" applyFont="1" applyBorder="1" applyAlignment="1">
      <alignment horizontal="center"/>
    </xf>
    <xf numFmtId="0" fontId="36" fillId="0" borderId="18" xfId="0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center" wrapText="1"/>
      <protection locked="0"/>
    </xf>
    <xf numFmtId="0" fontId="38" fillId="0" borderId="0" xfId="0" applyFont="1" applyFill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horizontal="left" wrapText="1"/>
      <protection locked="0"/>
    </xf>
    <xf numFmtId="7" fontId="22" fillId="0" borderId="0" xfId="0" applyNumberFormat="1" applyFont="1" applyFill="1" applyAlignment="1" applyProtection="1">
      <alignment horizontal="right" wrapText="1"/>
      <protection locked="0"/>
    </xf>
    <xf numFmtId="3" fontId="22" fillId="0" borderId="0" xfId="0" applyNumberFormat="1" applyFont="1" applyFill="1" applyAlignment="1" applyProtection="1">
      <alignment horizontal="right" wrapText="1"/>
      <protection locked="0"/>
    </xf>
    <xf numFmtId="5" fontId="22" fillId="0" borderId="0" xfId="0" applyNumberFormat="1" applyFont="1" applyFill="1" applyAlignment="1" applyProtection="1">
      <alignment horizontal="right" wrapText="1"/>
      <protection locked="0"/>
    </xf>
    <xf numFmtId="37" fontId="0" fillId="0" borderId="0" xfId="0" applyNumberFormat="1"/>
    <xf numFmtId="39" fontId="22" fillId="0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Fill="1" applyAlignment="1" applyProtection="1">
      <alignment horizontal="left" wrapText="1"/>
      <protection locked="0"/>
    </xf>
    <xf numFmtId="39" fontId="30" fillId="0" borderId="0" xfId="0" applyNumberFormat="1" applyFont="1" applyFill="1" applyAlignment="1" applyProtection="1">
      <alignment horizontal="right" wrapText="1"/>
      <protection locked="0"/>
    </xf>
    <xf numFmtId="3" fontId="32" fillId="0" borderId="0" xfId="0" applyNumberFormat="1" applyFont="1" applyFill="1" applyAlignment="1" applyProtection="1">
      <alignment horizontal="right" wrapText="1"/>
      <protection locked="0"/>
    </xf>
    <xf numFmtId="37" fontId="30" fillId="0" borderId="0" xfId="0" applyNumberFormat="1" applyFont="1"/>
    <xf numFmtId="3" fontId="30" fillId="0" borderId="0" xfId="0" applyNumberFormat="1" applyFont="1"/>
    <xf numFmtId="3" fontId="32" fillId="0" borderId="0" xfId="0" applyNumberFormat="1" applyFont="1"/>
    <xf numFmtId="37" fontId="32" fillId="0" borderId="0" xfId="0" applyNumberFormat="1" applyFont="1"/>
    <xf numFmtId="0" fontId="22" fillId="0" borderId="0" xfId="0" applyFont="1" applyFill="1" applyAlignment="1" applyProtection="1">
      <alignment horizontal="center" wrapText="1"/>
      <protection locked="0"/>
    </xf>
    <xf numFmtId="3" fontId="36" fillId="0" borderId="0" xfId="0" applyNumberFormat="1" applyFont="1" applyFill="1" applyAlignment="1" applyProtection="1">
      <alignment horizontal="right" wrapText="1"/>
      <protection locked="0"/>
    </xf>
    <xf numFmtId="3" fontId="38" fillId="0" borderId="0" xfId="0" applyNumberFormat="1" applyFont="1" applyFill="1" applyAlignment="1" applyProtection="1">
      <alignment horizontal="right" wrapText="1"/>
      <protection locked="0"/>
    </xf>
    <xf numFmtId="37" fontId="27" fillId="0" borderId="0" xfId="0" applyNumberFormat="1" applyFont="1"/>
    <xf numFmtId="3" fontId="30" fillId="0" borderId="0" xfId="0" applyNumberFormat="1" applyFont="1" applyFill="1" applyAlignment="1" applyProtection="1">
      <alignment horizontal="right" wrapText="1"/>
      <protection locked="0"/>
    </xf>
    <xf numFmtId="0" fontId="39" fillId="0" borderId="0" xfId="0" applyFont="1" applyFill="1" applyAlignment="1" applyProtection="1">
      <alignment horizontal="center" wrapText="1"/>
      <protection locked="0"/>
    </xf>
    <xf numFmtId="0" fontId="23" fillId="0" borderId="0" xfId="0" applyFont="1" applyFill="1" applyAlignment="1" applyProtection="1">
      <alignment horizontal="center" wrapText="1"/>
      <protection locked="0"/>
    </xf>
    <xf numFmtId="0" fontId="28" fillId="0" borderId="0" xfId="0" applyFont="1" applyFill="1" applyAlignment="1" applyProtection="1">
      <alignment horizontal="left" wrapText="1"/>
      <protection locked="0"/>
    </xf>
    <xf numFmtId="39" fontId="28" fillId="0" borderId="0" xfId="0" applyNumberFormat="1" applyFont="1" applyFill="1" applyAlignment="1" applyProtection="1">
      <alignment horizontal="right" wrapText="1"/>
      <protection locked="0"/>
    </xf>
    <xf numFmtId="3" fontId="28" fillId="0" borderId="0" xfId="0" applyNumberFormat="1" applyFont="1" applyFill="1" applyAlignment="1" applyProtection="1">
      <alignment horizontal="right" wrapText="1"/>
      <protection locked="0"/>
    </xf>
    <xf numFmtId="37" fontId="28" fillId="0" borderId="0" xfId="0" applyNumberFormat="1" applyFont="1"/>
    <xf numFmtId="3" fontId="28" fillId="0" borderId="0" xfId="0" applyNumberFormat="1" applyFont="1"/>
    <xf numFmtId="3" fontId="23" fillId="0" borderId="0" xfId="0" applyNumberFormat="1" applyFont="1" applyFill="1" applyAlignment="1" applyProtection="1">
      <alignment horizontal="right" wrapText="1"/>
      <protection locked="0"/>
    </xf>
    <xf numFmtId="3" fontId="27" fillId="0" borderId="0" xfId="0" applyNumberFormat="1" applyFont="1"/>
    <xf numFmtId="3" fontId="40" fillId="0" borderId="0" xfId="0" applyNumberFormat="1" applyFont="1" applyFill="1" applyAlignment="1" applyProtection="1">
      <alignment horizontal="right" wrapText="1"/>
      <protection locked="0"/>
    </xf>
    <xf numFmtId="0" fontId="21" fillId="0" borderId="0" xfId="0" applyFont="1" applyAlignment="1">
      <alignment horizontal="right"/>
    </xf>
    <xf numFmtId="37" fontId="19" fillId="0" borderId="0" xfId="0" applyNumberFormat="1" applyFont="1"/>
    <xf numFmtId="3" fontId="19" fillId="0" borderId="0" xfId="0" applyNumberFormat="1" applyFont="1"/>
    <xf numFmtId="5" fontId="19" fillId="0" borderId="0" xfId="0" applyNumberFormat="1" applyFont="1"/>
    <xf numFmtId="0" fontId="22" fillId="0" borderId="16" xfId="2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7" fontId="3" fillId="0" borderId="0" xfId="0" applyNumberFormat="1" applyFont="1" applyAlignment="1"/>
    <xf numFmtId="39" fontId="3" fillId="0" borderId="0" xfId="0" applyNumberFormat="1" applyFont="1" applyAlignment="1"/>
    <xf numFmtId="174" fontId="3" fillId="0" borderId="0" xfId="0" applyNumberFormat="1" applyFont="1" applyAlignment="1"/>
    <xf numFmtId="165" fontId="3" fillId="0" borderId="0" xfId="0" applyNumberFormat="1" applyFont="1" applyAlignment="1"/>
    <xf numFmtId="37" fontId="3" fillId="0" borderId="0" xfId="0" applyNumberFormat="1" applyFont="1" applyAlignment="1"/>
    <xf numFmtId="5" fontId="3" fillId="0" borderId="0" xfId="0" applyNumberFormat="1" applyFont="1" applyAlignment="1"/>
    <xf numFmtId="0" fontId="42" fillId="0" borderId="0" xfId="0" applyNumberFormat="1" applyFont="1" applyAlignment="1"/>
    <xf numFmtId="4" fontId="42" fillId="0" borderId="0" xfId="0" applyNumberFormat="1" applyFont="1" applyAlignment="1"/>
    <xf numFmtId="4" fontId="42" fillId="0" borderId="0" xfId="0" applyNumberFormat="1" applyFont="1"/>
    <xf numFmtId="39" fontId="42" fillId="0" borderId="0" xfId="0" applyNumberFormat="1" applyFont="1" applyAlignment="1"/>
    <xf numFmtId="174" fontId="42" fillId="0" borderId="0" xfId="0" applyNumberFormat="1" applyFont="1" applyAlignment="1"/>
    <xf numFmtId="3" fontId="42" fillId="0" borderId="0" xfId="0" applyNumberFormat="1" applyFont="1" applyAlignment="1"/>
    <xf numFmtId="37" fontId="42" fillId="0" borderId="0" xfId="0" applyNumberFormat="1" applyFont="1" applyAlignment="1"/>
    <xf numFmtId="0" fontId="42" fillId="0" borderId="0" xfId="0" applyNumberFormat="1" applyFont="1" applyAlignment="1">
      <alignment horizontal="center"/>
    </xf>
    <xf numFmtId="3" fontId="43" fillId="0" borderId="0" xfId="0" applyNumberFormat="1" applyFont="1" applyAlignment="1"/>
    <xf numFmtId="0" fontId="3" fillId="0" borderId="0" xfId="0" applyNumberFormat="1" applyFont="1" applyAlignment="1">
      <alignment horizontal="centerContinuous"/>
    </xf>
    <xf numFmtId="4" fontId="3" fillId="0" borderId="0" xfId="0" applyNumberFormat="1" applyFont="1" applyAlignment="1"/>
    <xf numFmtId="0" fontId="3" fillId="0" borderId="12" xfId="0" applyNumberFormat="1" applyFont="1" applyBorder="1" applyAlignment="1"/>
    <xf numFmtId="0" fontId="3" fillId="0" borderId="0" xfId="0" quotePrefix="1" applyNumberFormat="1" applyFont="1" applyAlignment="1">
      <alignment horizontal="center"/>
    </xf>
    <xf numFmtId="0" fontId="10" fillId="0" borderId="0" xfId="0" quotePrefix="1" applyNumberFormat="1" applyFont="1" applyAlignment="1">
      <alignment horizontal="center"/>
    </xf>
    <xf numFmtId="0" fontId="3" fillId="0" borderId="0" xfId="0" quotePrefix="1" applyNumberFormat="1" applyFont="1" applyFill="1" applyBorder="1" applyAlignment="1"/>
    <xf numFmtId="0" fontId="44" fillId="0" borderId="0" xfId="0" applyNumberFormat="1" applyFont="1" applyAlignment="1"/>
    <xf numFmtId="4" fontId="44" fillId="0" borderId="0" xfId="0" applyNumberFormat="1" applyFont="1" applyAlignment="1"/>
    <xf numFmtId="4" fontId="44" fillId="0" borderId="0" xfId="0" applyNumberFormat="1" applyFont="1"/>
    <xf numFmtId="39" fontId="44" fillId="0" borderId="0" xfId="0" applyNumberFormat="1" applyFont="1" applyAlignment="1"/>
    <xf numFmtId="174" fontId="44" fillId="0" borderId="0" xfId="0" applyNumberFormat="1" applyFont="1" applyAlignment="1"/>
    <xf numFmtId="3" fontId="44" fillId="0" borderId="0" xfId="0" applyNumberFormat="1" applyFont="1" applyAlignment="1"/>
    <xf numFmtId="37" fontId="44" fillId="0" borderId="0" xfId="0" applyNumberFormat="1" applyFont="1" applyAlignment="1"/>
    <xf numFmtId="0" fontId="30" fillId="0" borderId="0" xfId="0" applyFont="1" applyAlignment="1">
      <alignment horizontal="left"/>
    </xf>
    <xf numFmtId="37" fontId="6" fillId="0" borderId="0" xfId="0" applyNumberFormat="1" applyFont="1" applyAlignment="1"/>
    <xf numFmtId="37" fontId="43" fillId="0" borderId="0" xfId="0" applyNumberFormat="1" applyFont="1" applyAlignment="1"/>
    <xf numFmtId="3" fontId="10" fillId="3" borderId="21" xfId="0" applyNumberFormat="1" applyFont="1" applyFill="1" applyBorder="1" applyAlignment="1"/>
    <xf numFmtId="5" fontId="10" fillId="3" borderId="22" xfId="0" applyNumberFormat="1" applyFont="1" applyFill="1" applyBorder="1" applyAlignment="1"/>
    <xf numFmtId="0" fontId="45" fillId="0" borderId="0" xfId="0" applyNumberFormat="1" applyFont="1" applyAlignment="1">
      <alignment horizontal="centerContinuous"/>
    </xf>
    <xf numFmtId="0" fontId="7" fillId="0" borderId="0" xfId="0" quotePrefix="1" applyNumberFormat="1" applyFont="1" applyAlignment="1">
      <alignment horizontal="center"/>
    </xf>
    <xf numFmtId="0" fontId="22" fillId="0" borderId="0" xfId="0" applyFont="1" applyFill="1" applyBorder="1" applyAlignment="1" applyProtection="1">
      <alignment horizontal="right" wrapText="1"/>
      <protection locked="0"/>
    </xf>
    <xf numFmtId="39" fontId="22" fillId="0" borderId="0" xfId="0" applyNumberFormat="1" applyFont="1" applyFill="1" applyBorder="1" applyAlignment="1" applyProtection="1">
      <alignment horizontal="right" wrapText="1"/>
      <protection locked="0"/>
    </xf>
    <xf numFmtId="3" fontId="22" fillId="0" borderId="0" xfId="0" applyNumberFormat="1" applyFont="1" applyFill="1" applyBorder="1" applyAlignment="1" applyProtection="1">
      <alignment horizontal="right" wrapText="1"/>
      <protection locked="0"/>
    </xf>
    <xf numFmtId="37" fontId="22" fillId="0" borderId="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 applyBorder="1" applyAlignment="1" applyProtection="1">
      <protection locked="0"/>
    </xf>
    <xf numFmtId="39" fontId="0" fillId="0" borderId="0" xfId="0" applyNumberFormat="1" applyFill="1" applyBorder="1" applyAlignment="1" applyProtection="1">
      <protection locked="0"/>
    </xf>
    <xf numFmtId="0" fontId="39" fillId="0" borderId="18" xfId="0" applyFont="1" applyFill="1" applyBorder="1" applyAlignment="1" applyProtection="1">
      <alignment horizontal="center" wrapText="1"/>
      <protection locked="0"/>
    </xf>
    <xf numFmtId="39" fontId="22" fillId="0" borderId="19" xfId="0" applyNumberFormat="1" applyFont="1" applyFill="1" applyBorder="1" applyAlignment="1" applyProtection="1">
      <alignment horizontal="right" wrapText="1"/>
      <protection locked="0"/>
    </xf>
    <xf numFmtId="3" fontId="39" fillId="0" borderId="16" xfId="0" applyNumberFormat="1" applyFont="1" applyFill="1" applyBorder="1" applyAlignment="1" applyProtection="1">
      <alignment horizontal="right" wrapText="1"/>
      <protection locked="0"/>
    </xf>
    <xf numFmtId="5" fontId="39" fillId="0" borderId="16" xfId="0" applyNumberFormat="1" applyFont="1" applyFill="1" applyBorder="1" applyAlignment="1" applyProtection="1">
      <alignment horizontal="right" wrapText="1"/>
      <protection locked="0"/>
    </xf>
    <xf numFmtId="37" fontId="2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Border="1"/>
    <xf numFmtId="37" fontId="19" fillId="0" borderId="0" xfId="0" applyNumberFormat="1" applyFont="1" applyBorder="1"/>
    <xf numFmtId="37" fontId="0" fillId="0" borderId="0" xfId="0" applyNumberFormat="1" applyBorder="1"/>
    <xf numFmtId="3" fontId="39" fillId="0" borderId="0" xfId="0" applyNumberFormat="1" applyFont="1" applyFill="1" applyBorder="1" applyAlignment="1" applyProtection="1">
      <alignment horizontal="right" wrapText="1"/>
      <protection locked="0"/>
    </xf>
    <xf numFmtId="37" fontId="38" fillId="0" borderId="0" xfId="0" applyNumberFormat="1" applyFont="1" applyFill="1" applyAlignment="1" applyProtection="1">
      <alignment horizontal="right" wrapText="1"/>
      <protection locked="0"/>
    </xf>
    <xf numFmtId="3" fontId="23" fillId="0" borderId="0" xfId="0" applyNumberFormat="1" applyFont="1" applyFill="1" applyBorder="1" applyAlignment="1" applyProtection="1">
      <alignment horizontal="right" wrapText="1"/>
      <protection locked="0"/>
    </xf>
    <xf numFmtId="5" fontId="23" fillId="0" borderId="0" xfId="0" applyNumberFormat="1" applyFont="1" applyFill="1" applyBorder="1" applyAlignment="1" applyProtection="1">
      <alignment horizontal="right" wrapText="1"/>
      <protection locked="0"/>
    </xf>
    <xf numFmtId="3" fontId="25" fillId="0" borderId="0" xfId="0" applyNumberFormat="1" applyFont="1"/>
    <xf numFmtId="3" fontId="25" fillId="0" borderId="0" xfId="0" applyNumberFormat="1" applyFont="1" applyFill="1" applyAlignment="1" applyProtection="1">
      <alignment horizontal="right" wrapText="1"/>
      <protection locked="0"/>
    </xf>
    <xf numFmtId="37" fontId="25" fillId="0" borderId="0" xfId="0" applyNumberFormat="1" applyFont="1"/>
    <xf numFmtId="0" fontId="26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  <protection locked="0"/>
    </xf>
    <xf numFmtId="39" fontId="46" fillId="4" borderId="0" xfId="0" applyNumberFormat="1" applyFont="1" applyFill="1"/>
    <xf numFmtId="0" fontId="4" fillId="0" borderId="9" xfId="0" applyNumberFormat="1" applyFont="1" applyBorder="1" applyAlignment="1"/>
    <xf numFmtId="0" fontId="4" fillId="0" borderId="0" xfId="0" applyNumberFormat="1" applyFont="1" applyBorder="1" applyAlignment="1"/>
    <xf numFmtId="0" fontId="8" fillId="0" borderId="0" xfId="0" applyNumberFormat="1" applyFont="1" applyBorder="1" applyAlignment="1"/>
    <xf numFmtId="0" fontId="42" fillId="0" borderId="0" xfId="0" quotePrefix="1" applyNumberFormat="1" applyFont="1" applyAlignment="1">
      <alignment horizontal="center"/>
    </xf>
    <xf numFmtId="0" fontId="39" fillId="0" borderId="16" xfId="2" applyNumberFormat="1" applyFont="1" applyFill="1" applyBorder="1" applyAlignment="1" applyProtection="1">
      <alignment horizontal="center"/>
    </xf>
    <xf numFmtId="0" fontId="47" fillId="0" borderId="0" xfId="0" applyNumberFormat="1" applyFont="1" applyAlignment="1"/>
    <xf numFmtId="0" fontId="47" fillId="0" borderId="0" xfId="0" applyNumberFormat="1" applyFont="1" applyAlignment="1">
      <alignment horizontal="center"/>
    </xf>
    <xf numFmtId="4" fontId="47" fillId="0" borderId="0" xfId="0" applyNumberFormat="1" applyFont="1" applyAlignment="1"/>
    <xf numFmtId="4" fontId="47" fillId="0" borderId="0" xfId="0" applyNumberFormat="1" applyFont="1"/>
    <xf numFmtId="39" fontId="47" fillId="0" borderId="0" xfId="0" applyNumberFormat="1" applyFont="1" applyAlignment="1"/>
    <xf numFmtId="174" fontId="47" fillId="0" borderId="0" xfId="0" applyNumberFormat="1" applyFont="1" applyAlignment="1"/>
    <xf numFmtId="3" fontId="47" fillId="0" borderId="0" xfId="0" applyNumberFormat="1" applyFont="1" applyAlignment="1"/>
    <xf numFmtId="37" fontId="47" fillId="0" borderId="0" xfId="0" applyNumberFormat="1" applyFont="1" applyAlignment="1"/>
    <xf numFmtId="0" fontId="39" fillId="0" borderId="16" xfId="0" applyFont="1" applyFill="1" applyBorder="1" applyAlignment="1" applyProtection="1">
      <alignment horizontal="center" wrapText="1"/>
      <protection locked="0"/>
    </xf>
    <xf numFmtId="0" fontId="10" fillId="5" borderId="8" xfId="0" quotePrefix="1" applyNumberFormat="1" applyFont="1" applyFill="1" applyBorder="1" applyAlignment="1">
      <alignment horizontal="center"/>
    </xf>
    <xf numFmtId="0" fontId="10" fillId="5" borderId="10" xfId="0" quotePrefix="1" applyNumberFormat="1" applyFont="1" applyFill="1" applyBorder="1" applyAlignment="1">
      <alignment horizontal="center"/>
    </xf>
    <xf numFmtId="0" fontId="10" fillId="5" borderId="1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7" fillId="5" borderId="1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3" fillId="5" borderId="11" xfId="0" applyNumberFormat="1" applyFont="1" applyFill="1" applyBorder="1" applyAlignment="1"/>
    <xf numFmtId="0" fontId="3" fillId="5" borderId="1" xfId="0" applyNumberFormat="1" applyFont="1" applyFill="1" applyBorder="1" applyAlignment="1"/>
    <xf numFmtId="165" fontId="3" fillId="5" borderId="11" xfId="0" applyNumberFormat="1" applyFont="1" applyFill="1" applyBorder="1" applyAlignment="1"/>
    <xf numFmtId="4" fontId="3" fillId="5" borderId="11" xfId="0" applyNumberFormat="1" applyFont="1" applyFill="1" applyBorder="1"/>
    <xf numFmtId="4" fontId="42" fillId="5" borderId="11" xfId="0" applyNumberFormat="1" applyFont="1" applyFill="1" applyBorder="1"/>
    <xf numFmtId="4" fontId="47" fillId="5" borderId="11" xfId="0" applyNumberFormat="1" applyFont="1" applyFill="1" applyBorder="1"/>
    <xf numFmtId="4" fontId="3" fillId="5" borderId="11" xfId="0" applyNumberFormat="1" applyFont="1" applyFill="1" applyBorder="1" applyAlignment="1"/>
    <xf numFmtId="4" fontId="42" fillId="5" borderId="11" xfId="0" applyNumberFormat="1" applyFont="1" applyFill="1" applyBorder="1" applyAlignment="1"/>
    <xf numFmtId="170" fontId="3" fillId="5" borderId="12" xfId="0" applyNumberFormat="1" applyFont="1" applyFill="1" applyBorder="1"/>
    <xf numFmtId="5" fontId="10" fillId="5" borderId="23" xfId="0" applyNumberFormat="1" applyFont="1" applyFill="1" applyBorder="1" applyAlignment="1"/>
    <xf numFmtId="37" fontId="3" fillId="5" borderId="1" xfId="0" applyNumberFormat="1" applyFont="1" applyFill="1" applyBorder="1" applyAlignment="1"/>
    <xf numFmtId="37" fontId="3" fillId="5" borderId="1" xfId="0" applyNumberFormat="1" applyFont="1" applyFill="1" applyBorder="1"/>
    <xf numFmtId="37" fontId="43" fillId="5" borderId="1" xfId="0" applyNumberFormat="1" applyFont="1" applyFill="1" applyBorder="1"/>
    <xf numFmtId="37" fontId="42" fillId="5" borderId="1" xfId="0" applyNumberFormat="1" applyFont="1" applyFill="1" applyBorder="1"/>
    <xf numFmtId="37" fontId="6" fillId="5" borderId="1" xfId="0" applyNumberFormat="1" applyFont="1" applyFill="1" applyBorder="1"/>
    <xf numFmtId="5" fontId="3" fillId="5" borderId="1" xfId="0" applyNumberFormat="1" applyFont="1" applyFill="1" applyBorder="1" applyAlignment="1"/>
    <xf numFmtId="3" fontId="48" fillId="0" borderId="0" xfId="0" applyNumberFormat="1" applyFont="1" applyAlignment="1"/>
    <xf numFmtId="37" fontId="48" fillId="0" borderId="0" xfId="0" applyNumberFormat="1" applyFont="1" applyAlignment="1"/>
    <xf numFmtId="0" fontId="44" fillId="0" borderId="0" xfId="0" quotePrefix="1" applyNumberFormat="1" applyFont="1" applyAlignment="1">
      <alignment horizontal="center"/>
    </xf>
    <xf numFmtId="4" fontId="44" fillId="5" borderId="11" xfId="0" applyNumberFormat="1" applyFont="1" applyFill="1" applyBorder="1"/>
    <xf numFmtId="37" fontId="49" fillId="5" borderId="1" xfId="0" applyNumberFormat="1" applyFont="1" applyFill="1" applyBorder="1"/>
    <xf numFmtId="0" fontId="25" fillId="0" borderId="0" xfId="0" applyFont="1" applyFill="1" applyAlignment="1" applyProtection="1">
      <alignment horizontal="left" wrapText="1"/>
      <protection locked="0"/>
    </xf>
    <xf numFmtId="39" fontId="25" fillId="0" borderId="0" xfId="0" applyNumberFormat="1" applyFont="1" applyFill="1" applyAlignment="1" applyProtection="1">
      <alignment horizontal="right" wrapText="1"/>
      <protection locked="0"/>
    </xf>
    <xf numFmtId="0" fontId="47" fillId="0" borderId="0" xfId="0" applyFont="1"/>
    <xf numFmtId="0" fontId="25" fillId="0" borderId="0" xfId="0" applyFont="1"/>
    <xf numFmtId="39" fontId="25" fillId="0" borderId="0" xfId="0" applyNumberFormat="1" applyFont="1"/>
    <xf numFmtId="37" fontId="44" fillId="5" borderId="1" xfId="0" applyNumberFormat="1" applyFont="1" applyFill="1" applyBorder="1"/>
    <xf numFmtId="0" fontId="44" fillId="0" borderId="0" xfId="0" applyNumberFormat="1" applyFont="1" applyAlignment="1">
      <alignment horizontal="center"/>
    </xf>
    <xf numFmtId="4" fontId="44" fillId="5" borderId="11" xfId="0" applyNumberFormat="1" applyFont="1" applyFill="1" applyBorder="1" applyAlignment="1"/>
    <xf numFmtId="0" fontId="10" fillId="0" borderId="0" xfId="1" applyFont="1" applyAlignment="1">
      <alignment horizontal="left"/>
    </xf>
    <xf numFmtId="0" fontId="19" fillId="0" borderId="0" xfId="1"/>
    <xf numFmtId="0" fontId="19" fillId="0" borderId="0" xfId="1" applyBorder="1"/>
    <xf numFmtId="0" fontId="19" fillId="0" borderId="13" xfId="1" applyBorder="1"/>
    <xf numFmtId="174" fontId="19" fillId="0" borderId="0" xfId="1" applyNumberFormat="1" applyBorder="1"/>
    <xf numFmtId="0" fontId="10" fillId="0" borderId="0" xfId="1" applyFont="1"/>
    <xf numFmtId="0" fontId="19" fillId="0" borderId="0" xfId="1" applyAlignment="1">
      <alignment horizontal="centerContinuous"/>
    </xf>
    <xf numFmtId="0" fontId="19" fillId="0" borderId="8" xfId="1" applyBorder="1"/>
    <xf numFmtId="0" fontId="21" fillId="0" borderId="9" xfId="1" applyFont="1" applyBorder="1" applyAlignment="1">
      <alignment horizontal="center"/>
    </xf>
    <xf numFmtId="0" fontId="19" fillId="0" borderId="9" xfId="1" applyBorder="1"/>
    <xf numFmtId="0" fontId="19" fillId="0" borderId="10" xfId="1" applyBorder="1"/>
    <xf numFmtId="0" fontId="19" fillId="0" borderId="11" xfId="1" applyBorder="1"/>
    <xf numFmtId="0" fontId="21" fillId="0" borderId="0" xfId="1" applyFont="1" applyBorder="1" applyAlignment="1">
      <alignment horizontal="center"/>
    </xf>
    <xf numFmtId="0" fontId="19" fillId="0" borderId="1" xfId="1" applyBorder="1"/>
    <xf numFmtId="0" fontId="27" fillId="0" borderId="11" xfId="1" applyFont="1" applyBorder="1"/>
    <xf numFmtId="3" fontId="28" fillId="0" borderId="11" xfId="3" applyNumberFormat="1" applyFont="1" applyBorder="1" applyAlignment="1"/>
    <xf numFmtId="179" fontId="28" fillId="0" borderId="0" xfId="5" applyNumberFormat="1" applyFont="1" applyBorder="1" applyAlignment="1"/>
    <xf numFmtId="175" fontId="28" fillId="0" borderId="0" xfId="3" applyNumberFormat="1" applyFont="1" applyBorder="1" applyAlignment="1"/>
    <xf numFmtId="175" fontId="28" fillId="0" borderId="0" xfId="5" applyNumberFormat="1" applyFont="1" applyBorder="1" applyAlignment="1"/>
    <xf numFmtId="3" fontId="28" fillId="0" borderId="11" xfId="5" applyNumberFormat="1" applyFont="1" applyBorder="1" applyAlignment="1"/>
    <xf numFmtId="175" fontId="19" fillId="0" borderId="0" xfId="1" applyNumberFormat="1" applyBorder="1"/>
    <xf numFmtId="3" fontId="28" fillId="0" borderId="11" xfId="5" applyNumberFormat="1" applyFont="1" applyFill="1" applyBorder="1" applyAlignment="1"/>
    <xf numFmtId="179" fontId="19" fillId="0" borderId="0" xfId="1" applyNumberFormat="1" applyBorder="1"/>
    <xf numFmtId="181" fontId="19" fillId="0" borderId="0" xfId="1" applyNumberFormat="1" applyBorder="1"/>
    <xf numFmtId="0" fontId="19" fillId="0" borderId="11" xfId="1" quotePrefix="1" applyBorder="1"/>
    <xf numFmtId="179" fontId="21" fillId="3" borderId="0" xfId="1" applyNumberFormat="1" applyFont="1" applyFill="1" applyBorder="1"/>
    <xf numFmtId="0" fontId="19" fillId="0" borderId="12" xfId="1" applyBorder="1"/>
    <xf numFmtId="0" fontId="19" fillId="0" borderId="23" xfId="1" applyBorder="1"/>
    <xf numFmtId="0" fontId="27" fillId="0" borderId="11" xfId="1" applyFont="1" applyBorder="1" applyAlignment="1">
      <alignment horizontal="center"/>
    </xf>
    <xf numFmtId="175" fontId="19" fillId="0" borderId="0" xfId="1" applyNumberFormat="1" applyFill="1" applyBorder="1"/>
    <xf numFmtId="0" fontId="55" fillId="0" borderId="11" xfId="1" quotePrefix="1" applyFont="1" applyBorder="1"/>
    <xf numFmtId="175" fontId="55" fillId="0" borderId="16" xfId="1" applyNumberFormat="1" applyFont="1" applyBorder="1"/>
    <xf numFmtId="175" fontId="56" fillId="0" borderId="0" xfId="1" applyNumberFormat="1" applyFont="1" applyBorder="1"/>
    <xf numFmtId="175" fontId="57" fillId="0" borderId="0" xfId="1" applyNumberFormat="1" applyFont="1" applyBorder="1"/>
    <xf numFmtId="175" fontId="19" fillId="0" borderId="0" xfId="1" applyNumberFormat="1" applyFont="1" applyBorder="1"/>
    <xf numFmtId="174" fontId="21" fillId="0" borderId="0" xfId="1" applyNumberFormat="1" applyFont="1" applyBorder="1"/>
    <xf numFmtId="10" fontId="21" fillId="0" borderId="0" xfId="1" applyNumberFormat="1" applyFont="1" applyBorder="1"/>
    <xf numFmtId="175" fontId="21" fillId="0" borderId="16" xfId="1" applyNumberFormat="1" applyFont="1" applyBorder="1"/>
    <xf numFmtId="0" fontId="19" fillId="0" borderId="0" xfId="1" applyFont="1" applyFill="1" applyBorder="1"/>
    <xf numFmtId="0" fontId="19" fillId="0" borderId="11" xfId="1" quotePrefix="1" applyFont="1" applyBorder="1"/>
    <xf numFmtId="0" fontId="19" fillId="0" borderId="11" xfId="1" applyFont="1" applyBorder="1"/>
    <xf numFmtId="10" fontId="21" fillId="3" borderId="0" xfId="1" applyNumberFormat="1" applyFont="1" applyFill="1" applyBorder="1"/>
    <xf numFmtId="5" fontId="10" fillId="3" borderId="21" xfId="0" applyNumberFormat="1" applyFont="1" applyFill="1" applyBorder="1" applyAlignment="1"/>
    <xf numFmtId="5" fontId="10" fillId="3" borderId="25" xfId="0" applyNumberFormat="1" applyFont="1" applyFill="1" applyBorder="1" applyAlignment="1"/>
    <xf numFmtId="3" fontId="10" fillId="0" borderId="21" xfId="0" applyNumberFormat="1" applyFont="1" applyBorder="1" applyAlignment="1"/>
    <xf numFmtId="5" fontId="10" fillId="0" borderId="22" xfId="0" applyNumberFormat="1" applyFont="1" applyBorder="1" applyAlignment="1"/>
    <xf numFmtId="165" fontId="3" fillId="0" borderId="0" xfId="0" applyNumberFormat="1" applyFont="1" applyBorder="1" applyAlignment="1"/>
    <xf numFmtId="4" fontId="3" fillId="0" borderId="0" xfId="0" applyNumberFormat="1" applyFont="1" applyBorder="1"/>
    <xf numFmtId="4" fontId="6" fillId="0" borderId="0" xfId="0" applyNumberFormat="1" applyFont="1" applyBorder="1" applyAlignment="1"/>
    <xf numFmtId="167" fontId="7" fillId="0" borderId="0" xfId="0" applyNumberFormat="1" applyFont="1" applyBorder="1" applyAlignment="1"/>
    <xf numFmtId="167" fontId="7" fillId="0" borderId="13" xfId="0" applyNumberFormat="1" applyFont="1" applyBorder="1" applyAlignment="1"/>
    <xf numFmtId="0" fontId="3" fillId="0" borderId="23" xfId="0" applyNumberFormat="1" applyFont="1" applyBorder="1" applyAlignment="1"/>
    <xf numFmtId="37" fontId="58" fillId="0" borderId="0" xfId="0" applyNumberFormat="1" applyFont="1" applyAlignment="1"/>
    <xf numFmtId="0" fontId="45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/>
    </xf>
    <xf numFmtId="0" fontId="12" fillId="0" borderId="0" xfId="0" applyNumberFormat="1" applyFont="1" applyAlignment="1"/>
    <xf numFmtId="176" fontId="7" fillId="0" borderId="0" xfId="0" applyNumberFormat="1" applyFont="1" applyBorder="1" applyAlignment="1"/>
    <xf numFmtId="176" fontId="7" fillId="0" borderId="13" xfId="0" applyNumberFormat="1" applyFont="1" applyBorder="1" applyAlignment="1"/>
    <xf numFmtId="165" fontId="5" fillId="0" borderId="0" xfId="0" applyNumberFormat="1" applyFont="1" applyBorder="1" applyAlignment="1"/>
    <xf numFmtId="0" fontId="10" fillId="0" borderId="0" xfId="0" applyNumberFormat="1" applyFont="1" applyAlignment="1">
      <alignment horizontal="right"/>
    </xf>
    <xf numFmtId="0" fontId="18" fillId="0" borderId="16" xfId="2" applyNumberFormat="1" applyFont="1" applyFill="1" applyBorder="1" applyAlignment="1"/>
    <xf numFmtId="165" fontId="18" fillId="0" borderId="16" xfId="2" applyNumberFormat="1" applyFont="1" applyFill="1" applyBorder="1" applyAlignment="1"/>
    <xf numFmtId="0" fontId="15" fillId="0" borderId="16" xfId="2" applyNumberFormat="1" applyFont="1" applyFill="1" applyBorder="1" applyAlignment="1" applyProtection="1"/>
    <xf numFmtId="0" fontId="15" fillId="0" borderId="16" xfId="2" applyNumberFormat="1" applyFill="1" applyBorder="1" applyAlignment="1" applyProtection="1"/>
    <xf numFmtId="0" fontId="59" fillId="0" borderId="0" xfId="2" applyNumberFormat="1" applyFont="1" applyFill="1" applyBorder="1" applyAlignment="1" applyProtection="1">
      <alignment horizontal="right"/>
    </xf>
    <xf numFmtId="0" fontId="15" fillId="0" borderId="0" xfId="2" applyNumberFormat="1" applyFill="1" applyBorder="1" applyAlignment="1" applyProtection="1">
      <alignment horizontal="centerContinuous"/>
    </xf>
    <xf numFmtId="0" fontId="41" fillId="0" borderId="0" xfId="2" applyNumberFormat="1" applyFont="1" applyFill="1" applyBorder="1" applyAlignment="1" applyProtection="1">
      <alignment horizontal="centerContinuous"/>
    </xf>
    <xf numFmtId="17" fontId="41" fillId="0" borderId="0" xfId="2" quotePrefix="1" applyNumberFormat="1" applyFont="1" applyFill="1" applyBorder="1" applyAlignment="1" applyProtection="1">
      <alignment horizontal="centerContinuous"/>
    </xf>
    <xf numFmtId="0" fontId="39" fillId="0" borderId="0" xfId="2" applyNumberFormat="1" applyFont="1" applyFill="1" applyBorder="1" applyAlignment="1" applyProtection="1">
      <alignment horizontal="right"/>
    </xf>
    <xf numFmtId="0" fontId="60" fillId="0" borderId="0" xfId="2" applyNumberFormat="1" applyFont="1" applyFill="1" applyBorder="1" applyAlignment="1" applyProtection="1">
      <alignment horizontal="centerContinuous"/>
    </xf>
    <xf numFmtId="0" fontId="22" fillId="0" borderId="0" xfId="2" applyNumberFormat="1" applyFont="1" applyFill="1" applyBorder="1" applyAlignment="1" applyProtection="1">
      <alignment horizontal="centerContinuous"/>
    </xf>
    <xf numFmtId="0" fontId="19" fillId="0" borderId="0" xfId="4" applyAlignment="1">
      <alignment horizontal="centerContinuous"/>
    </xf>
    <xf numFmtId="0" fontId="26" fillId="0" borderId="0" xfId="4" applyFont="1" applyAlignment="1">
      <alignment horizontal="centerContinuous"/>
    </xf>
    <xf numFmtId="0" fontId="61" fillId="0" borderId="0" xfId="4" applyFont="1" applyAlignment="1">
      <alignment horizontal="centerContinuous"/>
    </xf>
    <xf numFmtId="0" fontId="10" fillId="0" borderId="0" xfId="4" applyFont="1" applyAlignment="1">
      <alignment horizontal="centerContinuous"/>
    </xf>
    <xf numFmtId="0" fontId="1" fillId="0" borderId="8" xfId="4" applyFont="1" applyBorder="1" applyAlignment="1">
      <alignment horizontal="center"/>
    </xf>
    <xf numFmtId="0" fontId="1" fillId="0" borderId="12" xfId="4" applyFont="1" applyBorder="1" applyAlignment="1">
      <alignment horizontal="center"/>
    </xf>
    <xf numFmtId="0" fontId="19" fillId="0" borderId="18" xfId="4" applyBorder="1"/>
    <xf numFmtId="0" fontId="19" fillId="0" borderId="18" xfId="4" applyFont="1" applyBorder="1"/>
    <xf numFmtId="0" fontId="19" fillId="0" borderId="8" xfId="4" applyBorder="1"/>
    <xf numFmtId="1" fontId="19" fillId="0" borderId="14" xfId="4" applyNumberFormat="1" applyBorder="1"/>
    <xf numFmtId="172" fontId="19" fillId="0" borderId="14" xfId="4" applyNumberFormat="1" applyBorder="1"/>
    <xf numFmtId="2" fontId="19" fillId="0" borderId="14" xfId="4" applyNumberFormat="1" applyBorder="1"/>
    <xf numFmtId="0" fontId="19" fillId="0" borderId="14" xfId="4" applyBorder="1"/>
    <xf numFmtId="9" fontId="3" fillId="0" borderId="25" xfId="0" applyNumberFormat="1" applyFont="1" applyFill="1" applyBorder="1" applyAlignment="1"/>
    <xf numFmtId="0" fontId="10" fillId="0" borderId="0" xfId="1" applyFont="1" applyAlignment="1">
      <alignment horizontal="centerContinuous"/>
    </xf>
    <xf numFmtId="0" fontId="9" fillId="0" borderId="0" xfId="0" applyNumberFormat="1" applyFont="1" applyAlignment="1">
      <alignment horizontal="center"/>
    </xf>
    <xf numFmtId="3" fontId="62" fillId="0" borderId="0" xfId="0" applyNumberFormat="1" applyFont="1" applyAlignment="1"/>
    <xf numFmtId="3" fontId="62" fillId="0" borderId="0" xfId="0" applyNumberFormat="1" applyFont="1"/>
    <xf numFmtId="0" fontId="45" fillId="0" borderId="0" xfId="0" applyNumberFormat="1" applyFont="1" applyAlignment="1">
      <alignment horizontal="left"/>
    </xf>
    <xf numFmtId="0" fontId="0" fillId="0" borderId="0" xfId="0" applyAlignment="1"/>
    <xf numFmtId="0" fontId="12" fillId="0" borderId="0" xfId="0" applyNumberFormat="1" applyFont="1" applyAlignment="1"/>
    <xf numFmtId="0" fontId="0" fillId="0" borderId="0" xfId="0" applyBorder="1" applyAlignment="1"/>
    <xf numFmtId="0" fontId="3" fillId="0" borderId="1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6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0" fontId="34" fillId="0" borderId="0" xfId="0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Alignment="1"/>
    <xf numFmtId="0" fontId="10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4" fillId="0" borderId="0" xfId="0" applyNumberFormat="1" applyFont="1" applyFill="1" applyAlignment="1">
      <alignment horizontal="centerContinuous"/>
    </xf>
    <xf numFmtId="0" fontId="10" fillId="0" borderId="0" xfId="0" quotePrefix="1" applyNumberFormat="1" applyFont="1" applyFill="1" applyAlignment="1">
      <alignment horizontal="center"/>
    </xf>
    <xf numFmtId="0" fontId="3" fillId="0" borderId="0" xfId="0" quotePrefix="1" applyNumberFormat="1" applyFont="1" applyFill="1" applyAlignment="1">
      <alignment horizont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4" fillId="0" borderId="0" xfId="0" quotePrefix="1" applyNumberFormat="1" applyFont="1" applyFill="1" applyAlignment="1"/>
    <xf numFmtId="0" fontId="8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/>
    <xf numFmtId="175" fontId="3" fillId="0" borderId="0" xfId="0" applyNumberFormat="1" applyFont="1" applyFill="1" applyAlignment="1"/>
    <xf numFmtId="164" fontId="3" fillId="0" borderId="0" xfId="0" applyNumberFormat="1" applyFont="1" applyFill="1"/>
    <xf numFmtId="3" fontId="3" fillId="0" borderId="0" xfId="0" applyNumberFormat="1" applyFont="1" applyFill="1"/>
    <xf numFmtId="165" fontId="5" fillId="0" borderId="0" xfId="0" applyNumberFormat="1" applyFont="1" applyFill="1" applyAlignment="1"/>
    <xf numFmtId="3" fontId="6" fillId="0" borderId="0" xfId="0" applyNumberFormat="1" applyFont="1" applyFill="1" applyAlignment="1"/>
    <xf numFmtId="168" fontId="3" fillId="0" borderId="0" xfId="0" applyNumberFormat="1" applyFont="1" applyFill="1" applyAlignment="1"/>
    <xf numFmtId="166" fontId="4" fillId="0" borderId="17" xfId="0" applyNumberFormat="1" applyFont="1" applyFill="1" applyBorder="1" applyAlignment="1"/>
    <xf numFmtId="0" fontId="3" fillId="0" borderId="0" xfId="0" quotePrefix="1" applyNumberFormat="1" applyFont="1" applyFill="1" applyAlignment="1"/>
    <xf numFmtId="165" fontId="4" fillId="0" borderId="17" xfId="0" applyNumberFormat="1" applyFont="1" applyFill="1" applyBorder="1" applyAlignment="1"/>
    <xf numFmtId="0" fontId="10" fillId="0" borderId="0" xfId="0" applyNumberFormat="1" applyFont="1" applyFill="1" applyAlignment="1"/>
    <xf numFmtId="166" fontId="4" fillId="0" borderId="0" xfId="0" applyNumberFormat="1" applyFont="1" applyFill="1" applyAlignment="1"/>
    <xf numFmtId="0" fontId="4" fillId="0" borderId="0" xfId="0" quotePrefix="1" applyNumberFormat="1" applyFont="1" applyFill="1" applyAlignment="1">
      <alignment horizontal="center"/>
    </xf>
    <xf numFmtId="166" fontId="5" fillId="0" borderId="0" xfId="0" applyNumberFormat="1" applyFont="1" applyFill="1" applyAlignment="1"/>
    <xf numFmtId="165" fontId="11" fillId="0" borderId="0" xfId="0" applyNumberFormat="1" applyFont="1" applyFill="1" applyAlignment="1">
      <alignment horizontal="right"/>
    </xf>
    <xf numFmtId="3" fontId="3" fillId="0" borderId="13" xfId="0" applyNumberFormat="1" applyFont="1" applyFill="1" applyBorder="1"/>
    <xf numFmtId="3" fontId="5" fillId="0" borderId="13" xfId="0" applyNumberFormat="1" applyFont="1" applyFill="1" applyBorder="1" applyAlignment="1"/>
    <xf numFmtId="3" fontId="3" fillId="0" borderId="0" xfId="0" applyNumberFormat="1" applyFont="1" applyFill="1" applyAlignment="1"/>
    <xf numFmtId="166" fontId="5" fillId="0" borderId="3" xfId="0" applyNumberFormat="1" applyFont="1" applyFill="1" applyBorder="1" applyAlignment="1"/>
    <xf numFmtId="0" fontId="3" fillId="0" borderId="0" xfId="0" applyNumberFormat="1" applyFont="1" applyFill="1" applyBorder="1"/>
    <xf numFmtId="3" fontId="9" fillId="0" borderId="0" xfId="0" applyNumberFormat="1" applyFont="1" applyFill="1" applyAlignment="1"/>
    <xf numFmtId="165" fontId="7" fillId="0" borderId="0" xfId="0" applyNumberFormat="1" applyFont="1" applyFill="1" applyAlignment="1"/>
    <xf numFmtId="9" fontId="3" fillId="0" borderId="17" xfId="0" applyNumberFormat="1" applyFont="1" applyFill="1" applyBorder="1" applyAlignment="1"/>
    <xf numFmtId="4" fontId="3" fillId="0" borderId="0" xfId="0" applyNumberFormat="1" applyFont="1" applyFill="1"/>
    <xf numFmtId="4" fontId="6" fillId="0" borderId="0" xfId="0" applyNumberFormat="1" applyFont="1" applyFill="1" applyAlignment="1"/>
    <xf numFmtId="0" fontId="0" fillId="0" borderId="0" xfId="0" applyFill="1"/>
    <xf numFmtId="0" fontId="10" fillId="0" borderId="0" xfId="0" applyFont="1" applyFill="1" applyAlignment="1">
      <alignment horizontal="right"/>
    </xf>
    <xf numFmtId="0" fontId="13" fillId="0" borderId="0" xfId="0" applyNumberFormat="1" applyFont="1" applyFill="1" applyAlignment="1">
      <alignment horizontal="centerContinuous"/>
    </xf>
    <xf numFmtId="0" fontId="7" fillId="0" borderId="0" xfId="0" applyNumberFormat="1" applyFont="1" applyFill="1" applyAlignment="1"/>
    <xf numFmtId="0" fontId="9" fillId="0" borderId="0" xfId="0" applyNumberFormat="1" applyFont="1" applyFill="1" applyAlignment="1"/>
    <xf numFmtId="10" fontId="10" fillId="0" borderId="17" xfId="0" applyNumberFormat="1" applyFont="1" applyFill="1" applyBorder="1" applyAlignment="1"/>
    <xf numFmtId="0" fontId="9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/>
    </xf>
    <xf numFmtId="0" fontId="6" fillId="0" borderId="0" xfId="0" quotePrefix="1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/>
    <xf numFmtId="4" fontId="9" fillId="0" borderId="0" xfId="0" applyNumberFormat="1" applyFont="1" applyFill="1"/>
    <xf numFmtId="170" fontId="5" fillId="0" borderId="0" xfId="0" applyNumberFormat="1" applyFont="1" applyFill="1" applyAlignment="1"/>
    <xf numFmtId="170" fontId="3" fillId="0" borderId="0" xfId="0" applyNumberFormat="1" applyFont="1" applyFill="1"/>
    <xf numFmtId="10" fontId="19" fillId="0" borderId="0" xfId="11" applyNumberFormat="1" applyFont="1" applyFill="1" applyBorder="1"/>
    <xf numFmtId="10" fontId="19" fillId="0" borderId="13" xfId="11" applyNumberFormat="1" applyFont="1" applyFill="1" applyBorder="1"/>
    <xf numFmtId="174" fontId="19" fillId="0" borderId="0" xfId="11" applyNumberFormat="1" applyFont="1" applyFill="1"/>
    <xf numFmtId="10" fontId="19" fillId="0" borderId="0" xfId="11" applyNumberFormat="1" applyFont="1" applyFill="1"/>
    <xf numFmtId="0" fontId="19" fillId="0" borderId="0" xfId="1" applyFont="1" applyFill="1"/>
    <xf numFmtId="0" fontId="1" fillId="0" borderId="0" xfId="1" applyFont="1" applyFill="1" applyAlignment="1">
      <alignment horizontal="right"/>
    </xf>
    <xf numFmtId="0" fontId="19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1" fillId="0" borderId="0" xfId="1" applyFont="1" applyFill="1"/>
    <xf numFmtId="0" fontId="1" fillId="0" borderId="0" xfId="1" quotePrefix="1" applyFont="1" applyFill="1" applyBorder="1"/>
    <xf numFmtId="0" fontId="1" fillId="0" borderId="0" xfId="1" applyFont="1" applyFill="1" applyBorder="1"/>
    <xf numFmtId="0" fontId="19" fillId="0" borderId="0" xfId="1" applyFont="1" applyFill="1" applyBorder="1" applyAlignment="1">
      <alignment horizontal="right"/>
    </xf>
    <xf numFmtId="10" fontId="19" fillId="0" borderId="0" xfId="11" applyNumberFormat="1" applyFont="1" applyFill="1" applyBorder="1" applyAlignment="1">
      <alignment horizontal="right"/>
    </xf>
    <xf numFmtId="0" fontId="19" fillId="0" borderId="13" xfId="1" applyFont="1" applyFill="1" applyBorder="1"/>
    <xf numFmtId="10" fontId="19" fillId="0" borderId="0" xfId="1" applyNumberFormat="1" applyFont="1" applyFill="1" applyBorder="1"/>
    <xf numFmtId="174" fontId="19" fillId="0" borderId="0" xfId="1" applyNumberFormat="1" applyFont="1" applyFill="1" applyBorder="1"/>
    <xf numFmtId="10" fontId="19" fillId="0" borderId="0" xfId="1" applyNumberFormat="1" applyFont="1" applyFill="1"/>
    <xf numFmtId="180" fontId="19" fillId="0" borderId="0" xfId="11" applyNumberFormat="1" applyFont="1" applyFill="1" applyBorder="1"/>
    <xf numFmtId="177" fontId="19" fillId="0" borderId="0" xfId="1" applyNumberFormat="1" applyFont="1" applyFill="1" applyBorder="1"/>
    <xf numFmtId="178" fontId="19" fillId="0" borderId="0" xfId="1" applyNumberFormat="1" applyFont="1" applyFill="1" applyBorder="1"/>
    <xf numFmtId="178" fontId="56" fillId="0" borderId="0" xfId="1" applyNumberFormat="1" applyFont="1" applyFill="1" applyBorder="1"/>
    <xf numFmtId="177" fontId="19" fillId="0" borderId="0" xfId="1" applyNumberFormat="1" applyFont="1" applyFill="1"/>
    <xf numFmtId="0" fontId="1" fillId="0" borderId="24" xfId="1" applyFont="1" applyFill="1" applyBorder="1"/>
    <xf numFmtId="10" fontId="1" fillId="0" borderId="24" xfId="11" applyNumberFormat="1" applyFont="1" applyFill="1" applyBorder="1"/>
    <xf numFmtId="0" fontId="26" fillId="0" borderId="0" xfId="4" applyFont="1" applyFill="1" applyAlignment="1">
      <alignment horizontal="centerContinuous"/>
    </xf>
    <xf numFmtId="0" fontId="3" fillId="0" borderId="0" xfId="0" applyNumberFormat="1" applyFont="1" applyFill="1" applyAlignment="1">
      <alignment horizontal="centerContinuous"/>
    </xf>
    <xf numFmtId="0" fontId="45" fillId="0" borderId="0" xfId="0" applyNumberFormat="1" applyFont="1" applyFill="1" applyAlignment="1">
      <alignment horizontal="centerContinuous"/>
    </xf>
    <xf numFmtId="0" fontId="10" fillId="0" borderId="8" xfId="0" quotePrefix="1" applyNumberFormat="1" applyFont="1" applyFill="1" applyBorder="1" applyAlignment="1">
      <alignment horizontal="center"/>
    </xf>
    <xf numFmtId="0" fontId="10" fillId="0" borderId="10" xfId="0" quotePrefix="1" applyNumberFormat="1" applyFont="1" applyFill="1" applyBorder="1" applyAlignment="1">
      <alignment horizontal="center"/>
    </xf>
    <xf numFmtId="0" fontId="10" fillId="0" borderId="1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/>
    <xf numFmtId="0" fontId="3" fillId="0" borderId="1" xfId="0" applyNumberFormat="1" applyFont="1" applyFill="1" applyBorder="1" applyAlignment="1"/>
    <xf numFmtId="165" fontId="3" fillId="0" borderId="0" xfId="0" applyNumberFormat="1" applyFont="1" applyFill="1" applyAlignment="1"/>
    <xf numFmtId="165" fontId="3" fillId="0" borderId="11" xfId="0" applyNumberFormat="1" applyFont="1" applyFill="1" applyBorder="1" applyAlignment="1"/>
    <xf numFmtId="5" fontId="3" fillId="0" borderId="1" xfId="0" applyNumberFormat="1" applyFont="1" applyFill="1" applyBorder="1" applyAlignment="1"/>
    <xf numFmtId="7" fontId="3" fillId="0" borderId="0" xfId="0" applyNumberFormat="1" applyFont="1" applyFill="1" applyAlignment="1"/>
    <xf numFmtId="174" fontId="3" fillId="0" borderId="0" xfId="0" applyNumberFormat="1" applyFont="1" applyFill="1" applyAlignment="1"/>
    <xf numFmtId="37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11" xfId="0" applyNumberFormat="1" applyFont="1" applyFill="1" applyBorder="1"/>
    <xf numFmtId="37" fontId="3" fillId="0" borderId="1" xfId="0" applyNumberFormat="1" applyFont="1" applyFill="1" applyBorder="1"/>
    <xf numFmtId="39" fontId="3" fillId="0" borderId="0" xfId="0" applyNumberFormat="1" applyFont="1" applyFill="1" applyAlignment="1"/>
    <xf numFmtId="0" fontId="9" fillId="0" borderId="0" xfId="0" quotePrefix="1" applyNumberFormat="1" applyFont="1" applyFill="1" applyAlignment="1">
      <alignment horizontal="center"/>
    </xf>
    <xf numFmtId="4" fontId="9" fillId="0" borderId="0" xfId="0" applyNumberFormat="1" applyFont="1" applyFill="1" applyAlignment="1"/>
    <xf numFmtId="4" fontId="9" fillId="0" borderId="11" xfId="0" applyNumberFormat="1" applyFont="1" applyFill="1" applyBorder="1"/>
    <xf numFmtId="37" fontId="62" fillId="0" borderId="1" xfId="0" applyNumberFormat="1" applyFont="1" applyFill="1" applyBorder="1"/>
    <xf numFmtId="7" fontId="9" fillId="0" borderId="0" xfId="0" applyNumberFormat="1" applyFont="1" applyFill="1" applyAlignment="1"/>
    <xf numFmtId="174" fontId="9" fillId="0" borderId="0" xfId="0" applyNumberFormat="1" applyFont="1" applyFill="1" applyAlignment="1"/>
    <xf numFmtId="3" fontId="62" fillId="0" borderId="0" xfId="0" applyNumberFormat="1" applyFont="1" applyFill="1" applyAlignment="1"/>
    <xf numFmtId="37" fontId="62" fillId="0" borderId="0" xfId="0" applyNumberFormat="1" applyFont="1" applyFill="1" applyAlignment="1"/>
    <xf numFmtId="0" fontId="9" fillId="0" borderId="0" xfId="0" applyNumberFormat="1" applyFont="1" applyFill="1" applyAlignment="1">
      <alignment horizontal="center"/>
    </xf>
    <xf numFmtId="37" fontId="9" fillId="0" borderId="1" xfId="0" applyNumberFormat="1" applyFont="1" applyFill="1" applyBorder="1"/>
    <xf numFmtId="39" fontId="9" fillId="0" borderId="0" xfId="0" applyNumberFormat="1" applyFont="1" applyFill="1" applyAlignment="1"/>
    <xf numFmtId="37" fontId="9" fillId="0" borderId="0" xfId="0" applyNumberFormat="1" applyFont="1" applyFill="1" applyAlignment="1"/>
    <xf numFmtId="37" fontId="6" fillId="0" borderId="1" xfId="0" applyNumberFormat="1" applyFont="1" applyFill="1" applyBorder="1"/>
    <xf numFmtId="37" fontId="6" fillId="0" borderId="0" xfId="0" applyNumberFormat="1" applyFont="1" applyFill="1" applyAlignment="1"/>
    <xf numFmtId="37" fontId="63" fillId="0" borderId="1" xfId="0" applyNumberFormat="1" applyFont="1" applyFill="1" applyBorder="1"/>
    <xf numFmtId="0" fontId="63" fillId="0" borderId="0" xfId="0" applyNumberFormat="1" applyFont="1" applyFill="1" applyAlignment="1">
      <alignment horizontal="center"/>
    </xf>
    <xf numFmtId="4" fontId="63" fillId="0" borderId="11" xfId="0" applyNumberFormat="1" applyFont="1" applyFill="1" applyBorder="1"/>
    <xf numFmtId="37" fontId="64" fillId="0" borderId="1" xfId="0" applyNumberFormat="1" applyFont="1" applyFill="1" applyBorder="1"/>
    <xf numFmtId="39" fontId="65" fillId="0" borderId="0" xfId="0" applyNumberFormat="1" applyFont="1" applyFill="1" applyAlignment="1"/>
    <xf numFmtId="174" fontId="65" fillId="0" borderId="0" xfId="0" applyNumberFormat="1" applyFont="1" applyFill="1" applyAlignment="1"/>
    <xf numFmtId="37" fontId="65" fillId="0" borderId="0" xfId="0" applyNumberFormat="1" applyFont="1" applyFill="1" applyAlignment="1"/>
    <xf numFmtId="4" fontId="3" fillId="0" borderId="11" xfId="0" applyNumberFormat="1" applyFont="1" applyFill="1" applyBorder="1" applyAlignment="1"/>
    <xf numFmtId="37" fontId="3" fillId="0" borderId="1" xfId="0" applyNumberFormat="1" applyFont="1" applyFill="1" applyBorder="1" applyAlignment="1"/>
    <xf numFmtId="4" fontId="9" fillId="0" borderId="11" xfId="0" applyNumberFormat="1" applyFont="1" applyFill="1" applyBorder="1" applyAlignment="1"/>
    <xf numFmtId="0" fontId="9" fillId="0" borderId="11" xfId="0" applyNumberFormat="1" applyFont="1" applyFill="1" applyBorder="1" applyAlignment="1"/>
    <xf numFmtId="37" fontId="9" fillId="0" borderId="1" xfId="0" applyNumberFormat="1" applyFont="1" applyFill="1" applyBorder="1" applyAlignment="1"/>
    <xf numFmtId="170" fontId="3" fillId="0" borderId="0" xfId="0" applyNumberFormat="1" applyFont="1" applyFill="1" applyAlignment="1"/>
    <xf numFmtId="170" fontId="3" fillId="0" borderId="12" xfId="0" applyNumberFormat="1" applyFont="1" applyFill="1" applyBorder="1"/>
    <xf numFmtId="5" fontId="10" fillId="0" borderId="23" xfId="0" applyNumberFormat="1" applyFont="1" applyFill="1" applyBorder="1" applyAlignment="1"/>
    <xf numFmtId="3" fontId="10" fillId="0" borderId="17" xfId="0" applyNumberFormat="1" applyFont="1" applyFill="1" applyBorder="1" applyAlignment="1"/>
    <xf numFmtId="5" fontId="10" fillId="0" borderId="22" xfId="0" applyNumberFormat="1" applyFont="1" applyFill="1" applyBorder="1" applyAlignment="1"/>
    <xf numFmtId="0" fontId="4" fillId="0" borderId="8" xfId="0" applyNumberFormat="1" applyFont="1" applyFill="1" applyBorder="1" applyAlignment="1"/>
    <xf numFmtId="0" fontId="4" fillId="0" borderId="9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10" xfId="0" applyNumberFormat="1" applyFont="1" applyFill="1" applyBorder="1" applyAlignment="1"/>
    <xf numFmtId="0" fontId="4" fillId="0" borderId="1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8" fillId="0" borderId="11" xfId="0" applyNumberFormat="1" applyFont="1" applyFill="1" applyBorder="1" applyAlignment="1"/>
    <xf numFmtId="0" fontId="8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1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3" fontId="3" fillId="0" borderId="0" xfId="0" applyNumberFormat="1" applyFont="1" applyFill="1" applyBorder="1" applyAlignment="1"/>
    <xf numFmtId="169" fontId="3" fillId="0" borderId="0" xfId="0" applyNumberFormat="1" applyFont="1" applyFill="1" applyBorder="1" applyAlignment="1"/>
    <xf numFmtId="4" fontId="6" fillId="0" borderId="0" xfId="0" applyNumberFormat="1" applyFont="1" applyFill="1" applyBorder="1" applyAlignment="1"/>
    <xf numFmtId="167" fontId="7" fillId="0" borderId="0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3" xfId="0" applyNumberFormat="1" applyFont="1" applyFill="1" applyBorder="1" applyAlignment="1"/>
    <xf numFmtId="3" fontId="3" fillId="0" borderId="13" xfId="0" applyNumberFormat="1" applyFont="1" applyFill="1" applyBorder="1" applyAlignment="1"/>
    <xf numFmtId="167" fontId="7" fillId="0" borderId="13" xfId="0" applyNumberFormat="1" applyFont="1" applyFill="1" applyBorder="1" applyAlignment="1"/>
    <xf numFmtId="0" fontId="3" fillId="0" borderId="23" xfId="0" applyNumberFormat="1" applyFont="1" applyFill="1" applyBorder="1" applyAlignment="1"/>
  </cellXfs>
  <cellStyles count="12">
    <cellStyle name="Normal" xfId="0" builtinId="0"/>
    <cellStyle name="Normal_CATV Embedded Cost Analysis" xfId="1"/>
    <cellStyle name="Normal_Cust Ops Street Light Material Costs 2005" xfId="2"/>
    <cellStyle name="Normal_Sheet1" xfId="3"/>
    <cellStyle name="Normal_Street Light Life Calculations 2005" xfId="4"/>
    <cellStyle name="Normal_Total Assets" xfId="5"/>
    <cellStyle name="Output Amounts" xfId="6"/>
    <cellStyle name="Output Column Headings" xfId="7"/>
    <cellStyle name="Output Line Items" xfId="8"/>
    <cellStyle name="Output Report Heading" xfId="9"/>
    <cellStyle name="Output Report Title" xfId="1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OutlineSymbols="0" zoomScale="87" zoomScaleNormal="87" workbookViewId="0"/>
  </sheetViews>
  <sheetFormatPr defaultColWidth="9.6640625" defaultRowHeight="15"/>
  <cols>
    <col min="1" max="1" width="12.44140625" style="1" customWidth="1"/>
    <col min="2" max="2" width="31.88671875" style="1" customWidth="1"/>
    <col min="3" max="3" width="12.21875" style="1" customWidth="1"/>
    <col min="4" max="4" width="15.21875" style="1" customWidth="1"/>
    <col min="5" max="6" width="12.21875" style="1" customWidth="1"/>
    <col min="7" max="16384" width="9.6640625" style="1"/>
  </cols>
  <sheetData>
    <row r="1" spans="1:6" ht="15.75">
      <c r="F1" s="339" t="s">
        <v>795</v>
      </c>
    </row>
    <row r="2" spans="1:6" ht="18">
      <c r="A2" s="27" t="s">
        <v>796</v>
      </c>
      <c r="B2" s="28"/>
      <c r="C2" s="28"/>
      <c r="D2" s="28"/>
      <c r="E2" s="28"/>
      <c r="F2" s="28"/>
    </row>
    <row r="3" spans="1:6">
      <c r="A3" s="3"/>
      <c r="E3" s="3"/>
    </row>
    <row r="4" spans="1:6" ht="15.75">
      <c r="A4" s="4" t="s">
        <v>685</v>
      </c>
      <c r="E4" s="3"/>
    </row>
    <row r="5" spans="1:6" ht="15.75">
      <c r="A5" s="4"/>
      <c r="E5" s="3"/>
    </row>
    <row r="6" spans="1:6" ht="15.75">
      <c r="A6" s="3"/>
      <c r="C6" s="22" t="s">
        <v>651</v>
      </c>
      <c r="D6" s="23"/>
      <c r="E6" s="23"/>
      <c r="F6" s="24"/>
    </row>
    <row r="7" spans="1:6" ht="15.75">
      <c r="A7" s="5" t="s">
        <v>654</v>
      </c>
      <c r="B7" s="5" t="s">
        <v>9</v>
      </c>
      <c r="C7" s="5" t="s">
        <v>97</v>
      </c>
      <c r="D7" s="21" t="s">
        <v>99</v>
      </c>
      <c r="E7" s="21" t="s">
        <v>98</v>
      </c>
      <c r="F7" s="21" t="s">
        <v>50</v>
      </c>
    </row>
    <row r="8" spans="1:6">
      <c r="A8" s="6"/>
      <c r="B8" s="6"/>
      <c r="C8" s="6"/>
      <c r="E8" s="3"/>
    </row>
    <row r="9" spans="1:6">
      <c r="A9" s="7" t="s">
        <v>627</v>
      </c>
      <c r="B9" s="8" t="s">
        <v>10</v>
      </c>
      <c r="C9" s="9">
        <v>31</v>
      </c>
      <c r="D9" s="20">
        <v>0</v>
      </c>
      <c r="E9" s="9">
        <v>7</v>
      </c>
      <c r="F9" s="20">
        <f>SUM(C9:E9)</f>
        <v>38</v>
      </c>
    </row>
    <row r="10" spans="1:6">
      <c r="A10" s="7" t="s">
        <v>1</v>
      </c>
      <c r="B10" s="8" t="s">
        <v>11</v>
      </c>
      <c r="C10" s="10">
        <v>3</v>
      </c>
      <c r="D10" s="20">
        <v>0</v>
      </c>
      <c r="E10" s="26">
        <v>0</v>
      </c>
      <c r="F10" s="10">
        <f>SUM(C10:E10)</f>
        <v>3</v>
      </c>
    </row>
    <row r="11" spans="1:6">
      <c r="A11" s="3"/>
      <c r="C11" s="9">
        <f>SUM(C9:C10)</f>
        <v>34</v>
      </c>
      <c r="D11" s="9">
        <f>SUM(D9:D10)</f>
        <v>0</v>
      </c>
      <c r="E11" s="9">
        <f>SUM(E9:E10)</f>
        <v>7</v>
      </c>
      <c r="F11" s="9">
        <f>SUM(F9:F10)</f>
        <v>41</v>
      </c>
    </row>
    <row r="12" spans="1:6">
      <c r="A12" s="3"/>
      <c r="C12" s="9"/>
      <c r="D12" s="20"/>
      <c r="E12" s="9"/>
    </row>
    <row r="13" spans="1:6">
      <c r="A13" s="7" t="s">
        <v>2</v>
      </c>
      <c r="B13" s="8" t="s">
        <v>12</v>
      </c>
      <c r="C13" s="9">
        <v>269</v>
      </c>
      <c r="D13" s="20">
        <v>0</v>
      </c>
      <c r="E13" s="9">
        <v>0</v>
      </c>
      <c r="F13" s="20">
        <f t="shared" ref="F13:F20" si="0">SUM(C13:E13)</f>
        <v>269</v>
      </c>
    </row>
    <row r="14" spans="1:6">
      <c r="A14" s="7" t="s">
        <v>652</v>
      </c>
      <c r="B14" s="8" t="s">
        <v>13</v>
      </c>
      <c r="C14" s="9">
        <v>11962</v>
      </c>
      <c r="D14" s="20">
        <v>9</v>
      </c>
      <c r="E14" s="9">
        <v>11</v>
      </c>
      <c r="F14" s="20">
        <f t="shared" si="0"/>
        <v>11982</v>
      </c>
    </row>
    <row r="15" spans="1:6">
      <c r="A15" s="7" t="s">
        <v>653</v>
      </c>
      <c r="B15" s="8" t="s">
        <v>14</v>
      </c>
      <c r="C15" s="9">
        <v>3150</v>
      </c>
      <c r="D15" s="20">
        <v>24</v>
      </c>
      <c r="E15" s="9">
        <v>153</v>
      </c>
      <c r="F15" s="20">
        <f t="shared" si="0"/>
        <v>3327</v>
      </c>
    </row>
    <row r="16" spans="1:6">
      <c r="A16" s="7" t="s">
        <v>655</v>
      </c>
      <c r="B16" s="8" t="s">
        <v>15</v>
      </c>
      <c r="C16" s="9">
        <v>1149</v>
      </c>
      <c r="D16" s="20">
        <v>34</v>
      </c>
      <c r="E16" s="9">
        <v>54</v>
      </c>
      <c r="F16" s="20">
        <f t="shared" si="0"/>
        <v>1237</v>
      </c>
    </row>
    <row r="17" spans="1:6">
      <c r="A17" s="7" t="s">
        <v>656</v>
      </c>
      <c r="B17" s="8" t="s">
        <v>16</v>
      </c>
      <c r="C17" s="9">
        <v>1484</v>
      </c>
      <c r="D17" s="20">
        <v>10</v>
      </c>
      <c r="E17" s="9">
        <v>16</v>
      </c>
      <c r="F17" s="20">
        <f t="shared" si="0"/>
        <v>1510</v>
      </c>
    </row>
    <row r="18" spans="1:6">
      <c r="A18" s="7" t="s">
        <v>657</v>
      </c>
      <c r="B18" s="8" t="s">
        <v>17</v>
      </c>
      <c r="C18" s="9">
        <v>12</v>
      </c>
      <c r="D18" s="20">
        <v>0</v>
      </c>
      <c r="E18" s="9">
        <v>1</v>
      </c>
      <c r="F18" s="20">
        <f t="shared" si="0"/>
        <v>13</v>
      </c>
    </row>
    <row r="19" spans="1:6">
      <c r="A19" s="7" t="s">
        <v>658</v>
      </c>
      <c r="B19" s="8" t="s">
        <v>18</v>
      </c>
      <c r="C19" s="9">
        <v>76</v>
      </c>
      <c r="D19" s="20">
        <v>17</v>
      </c>
      <c r="E19" s="9">
        <v>7</v>
      </c>
      <c r="F19" s="20">
        <f t="shared" si="0"/>
        <v>100</v>
      </c>
    </row>
    <row r="20" spans="1:6">
      <c r="A20" s="7" t="s">
        <v>3</v>
      </c>
      <c r="B20" s="8" t="s">
        <v>19</v>
      </c>
      <c r="C20" s="10">
        <v>5</v>
      </c>
      <c r="D20" s="10">
        <v>0</v>
      </c>
      <c r="E20" s="26">
        <v>0</v>
      </c>
      <c r="F20" s="10">
        <f t="shared" si="0"/>
        <v>5</v>
      </c>
    </row>
    <row r="21" spans="1:6">
      <c r="A21" s="3"/>
      <c r="C21" s="9">
        <f>SUM(C13:C20)</f>
        <v>18107</v>
      </c>
      <c r="D21" s="9">
        <f>SUM(D13:D20)</f>
        <v>94</v>
      </c>
      <c r="E21" s="9">
        <f>SUM(E13:E20)</f>
        <v>242</v>
      </c>
      <c r="F21" s="9">
        <f>SUM(F13:F20)</f>
        <v>18443</v>
      </c>
    </row>
    <row r="22" spans="1:6">
      <c r="A22" s="3"/>
      <c r="C22" s="9"/>
      <c r="D22" s="20"/>
      <c r="E22" s="9"/>
    </row>
    <row r="23" spans="1:6">
      <c r="A23" s="7" t="s">
        <v>4</v>
      </c>
      <c r="B23" s="8" t="s">
        <v>20</v>
      </c>
      <c r="C23" s="9">
        <v>913</v>
      </c>
      <c r="D23" s="20">
        <v>0</v>
      </c>
      <c r="E23" s="9">
        <v>0</v>
      </c>
      <c r="F23" s="20">
        <f t="shared" ref="F23:F33" si="1">SUM(C23:E23)</f>
        <v>913</v>
      </c>
    </row>
    <row r="24" spans="1:6">
      <c r="A24" s="7" t="s">
        <v>5</v>
      </c>
      <c r="B24" s="8" t="s">
        <v>21</v>
      </c>
      <c r="C24" s="9">
        <v>153</v>
      </c>
      <c r="D24" s="20">
        <v>0</v>
      </c>
      <c r="E24" s="9">
        <v>0</v>
      </c>
      <c r="F24" s="20">
        <f t="shared" si="1"/>
        <v>153</v>
      </c>
    </row>
    <row r="25" spans="1:6">
      <c r="A25" s="7" t="s">
        <v>6</v>
      </c>
      <c r="B25" s="8" t="s">
        <v>22</v>
      </c>
      <c r="C25" s="9">
        <v>68</v>
      </c>
      <c r="D25" s="20">
        <v>0</v>
      </c>
      <c r="E25" s="9">
        <v>0</v>
      </c>
      <c r="F25" s="20">
        <f t="shared" si="1"/>
        <v>68</v>
      </c>
    </row>
    <row r="26" spans="1:6">
      <c r="A26" s="7" t="s">
        <v>710</v>
      </c>
      <c r="B26" s="8" t="s">
        <v>23</v>
      </c>
      <c r="C26" s="9">
        <v>15</v>
      </c>
      <c r="D26" s="20">
        <v>0</v>
      </c>
      <c r="E26" s="9">
        <v>0</v>
      </c>
      <c r="F26" s="20">
        <f t="shared" si="1"/>
        <v>15</v>
      </c>
    </row>
    <row r="27" spans="1:6">
      <c r="A27" s="7" t="s">
        <v>625</v>
      </c>
      <c r="B27" s="8" t="s">
        <v>24</v>
      </c>
      <c r="C27" s="9">
        <v>5</v>
      </c>
      <c r="D27" s="20">
        <v>26</v>
      </c>
      <c r="E27" s="9">
        <v>0</v>
      </c>
      <c r="F27" s="20">
        <f t="shared" si="1"/>
        <v>31</v>
      </c>
    </row>
    <row r="28" spans="1:6">
      <c r="A28" s="7" t="s">
        <v>626</v>
      </c>
      <c r="B28" s="8" t="s">
        <v>25</v>
      </c>
      <c r="C28" s="9">
        <v>2</v>
      </c>
      <c r="D28" s="20">
        <v>3</v>
      </c>
      <c r="E28" s="9">
        <v>0</v>
      </c>
      <c r="F28" s="20">
        <f t="shared" si="1"/>
        <v>5</v>
      </c>
    </row>
    <row r="29" spans="1:6">
      <c r="A29" s="7" t="s">
        <v>7</v>
      </c>
      <c r="B29" s="8" t="s">
        <v>26</v>
      </c>
      <c r="C29" s="20">
        <v>2</v>
      </c>
      <c r="D29" s="20">
        <v>0</v>
      </c>
      <c r="E29" s="9">
        <v>0</v>
      </c>
      <c r="F29" s="20">
        <f t="shared" si="1"/>
        <v>2</v>
      </c>
    </row>
    <row r="30" spans="1:6">
      <c r="A30" s="366">
        <v>217</v>
      </c>
      <c r="B30" s="19" t="s">
        <v>101</v>
      </c>
      <c r="C30" s="17">
        <v>0</v>
      </c>
      <c r="D30" s="17">
        <v>1</v>
      </c>
      <c r="E30" s="25">
        <v>0</v>
      </c>
      <c r="F30" s="17">
        <f t="shared" si="1"/>
        <v>1</v>
      </c>
    </row>
    <row r="31" spans="1:6">
      <c r="A31" s="366">
        <v>218</v>
      </c>
      <c r="B31" s="19" t="s">
        <v>650</v>
      </c>
      <c r="C31" s="17">
        <v>0</v>
      </c>
      <c r="D31" s="17">
        <v>0</v>
      </c>
      <c r="E31" s="25">
        <v>0</v>
      </c>
      <c r="F31" s="17">
        <f t="shared" si="1"/>
        <v>0</v>
      </c>
    </row>
    <row r="32" spans="1:6">
      <c r="A32" s="366">
        <v>330</v>
      </c>
      <c r="B32" s="19" t="s">
        <v>102</v>
      </c>
      <c r="C32" s="17">
        <v>0</v>
      </c>
      <c r="D32" s="17">
        <v>0</v>
      </c>
      <c r="E32" s="25">
        <v>2</v>
      </c>
      <c r="F32" s="17">
        <f t="shared" si="1"/>
        <v>2</v>
      </c>
    </row>
    <row r="33" spans="1:6">
      <c r="A33" s="366">
        <v>350</v>
      </c>
      <c r="B33" s="19" t="s">
        <v>103</v>
      </c>
      <c r="C33" s="367">
        <v>0</v>
      </c>
      <c r="D33" s="367">
        <v>0</v>
      </c>
      <c r="E33" s="368">
        <v>78</v>
      </c>
      <c r="F33" s="367">
        <f t="shared" si="1"/>
        <v>78</v>
      </c>
    </row>
    <row r="34" spans="1:6">
      <c r="A34" s="7"/>
      <c r="C34" s="9">
        <f>SUM(C23:C33)</f>
        <v>1158</v>
      </c>
      <c r="D34" s="9">
        <f>SUM(D23:D33)</f>
        <v>30</v>
      </c>
      <c r="E34" s="9">
        <f>SUM(E23:E33)</f>
        <v>80</v>
      </c>
      <c r="F34" s="9">
        <f>SUM(F23:F33)</f>
        <v>1268</v>
      </c>
    </row>
    <row r="35" spans="1:6">
      <c r="A35" s="7"/>
      <c r="C35" s="9"/>
      <c r="D35" s="9"/>
      <c r="E35" s="9"/>
      <c r="F35" s="9"/>
    </row>
    <row r="36" spans="1:6">
      <c r="A36" s="7">
        <v>117</v>
      </c>
      <c r="B36" s="8" t="s">
        <v>605</v>
      </c>
      <c r="C36" s="9">
        <v>0</v>
      </c>
      <c r="D36" s="9">
        <v>0</v>
      </c>
      <c r="E36" s="9">
        <v>2</v>
      </c>
      <c r="F36" s="20">
        <f>SUM(C36:E36)</f>
        <v>2</v>
      </c>
    </row>
    <row r="37" spans="1:6">
      <c r="A37" s="7">
        <v>118</v>
      </c>
      <c r="B37" s="8" t="s">
        <v>606</v>
      </c>
      <c r="C37" s="9">
        <v>0</v>
      </c>
      <c r="D37" s="9">
        <v>0</v>
      </c>
      <c r="E37" s="9">
        <v>17</v>
      </c>
      <c r="F37" s="20">
        <f>SUM(C37:E37)</f>
        <v>17</v>
      </c>
    </row>
    <row r="38" spans="1:6">
      <c r="A38" s="7">
        <v>119</v>
      </c>
      <c r="B38" s="8" t="s">
        <v>607</v>
      </c>
      <c r="C38" s="9">
        <v>0</v>
      </c>
      <c r="D38" s="9">
        <v>0</v>
      </c>
      <c r="E38" s="9">
        <v>21</v>
      </c>
      <c r="F38" s="20">
        <f>SUM(C38:E38)</f>
        <v>21</v>
      </c>
    </row>
    <row r="39" spans="1:6">
      <c r="A39" s="7">
        <v>120</v>
      </c>
      <c r="B39" s="8" t="s">
        <v>608</v>
      </c>
      <c r="C39" s="9">
        <v>0</v>
      </c>
      <c r="D39" s="9">
        <v>0</v>
      </c>
      <c r="E39" s="9">
        <v>29</v>
      </c>
      <c r="F39" s="20">
        <f>SUM(C39:E39)</f>
        <v>29</v>
      </c>
    </row>
    <row r="40" spans="1:6">
      <c r="A40" s="7">
        <v>150</v>
      </c>
      <c r="B40" s="8" t="s">
        <v>609</v>
      </c>
      <c r="C40" s="26">
        <v>0</v>
      </c>
      <c r="D40" s="26">
        <v>0</v>
      </c>
      <c r="E40" s="26">
        <v>23</v>
      </c>
      <c r="F40" s="10">
        <f>SUM(C40:E40)</f>
        <v>23</v>
      </c>
    </row>
    <row r="41" spans="1:6">
      <c r="A41" s="3"/>
      <c r="C41" s="9">
        <f>SUM(C36:C40)</f>
        <v>0</v>
      </c>
      <c r="D41" s="9">
        <f>SUM(D36:D40)</f>
        <v>0</v>
      </c>
      <c r="E41" s="9">
        <f>SUM(E36:E40)</f>
        <v>92</v>
      </c>
      <c r="F41" s="9">
        <f>SUM(F36:F40)</f>
        <v>92</v>
      </c>
    </row>
    <row r="42" spans="1:6">
      <c r="A42" s="3"/>
      <c r="C42" s="9"/>
      <c r="D42" s="20"/>
      <c r="E42" s="9"/>
    </row>
    <row r="43" spans="1:6">
      <c r="A43" s="7">
        <v>310</v>
      </c>
      <c r="B43" s="8" t="s">
        <v>604</v>
      </c>
      <c r="C43" s="9">
        <v>0</v>
      </c>
      <c r="D43" s="9">
        <v>0</v>
      </c>
      <c r="E43" s="9">
        <v>1</v>
      </c>
      <c r="F43" s="20">
        <f t="shared" ref="F43:F48" si="2">SUM(C43:E43)</f>
        <v>1</v>
      </c>
    </row>
    <row r="44" spans="1:6">
      <c r="A44" s="7">
        <v>311</v>
      </c>
      <c r="B44" s="8" t="s">
        <v>644</v>
      </c>
      <c r="C44" s="9">
        <v>0</v>
      </c>
      <c r="D44" s="9">
        <v>0</v>
      </c>
      <c r="E44" s="9">
        <v>5</v>
      </c>
      <c r="F44" s="20">
        <f t="shared" si="2"/>
        <v>5</v>
      </c>
    </row>
    <row r="45" spans="1:6">
      <c r="A45" s="7">
        <v>312</v>
      </c>
      <c r="B45" s="8" t="s">
        <v>610</v>
      </c>
      <c r="C45" s="9">
        <v>0</v>
      </c>
      <c r="D45" s="9">
        <v>0</v>
      </c>
      <c r="E45" s="9">
        <v>2</v>
      </c>
      <c r="F45" s="20">
        <f t="shared" si="2"/>
        <v>2</v>
      </c>
    </row>
    <row r="46" spans="1:6">
      <c r="A46" s="7">
        <v>313</v>
      </c>
      <c r="B46" s="8" t="s">
        <v>603</v>
      </c>
      <c r="C46" s="9">
        <v>0</v>
      </c>
      <c r="D46" s="9">
        <v>0</v>
      </c>
      <c r="E46" s="9">
        <v>0</v>
      </c>
      <c r="F46" s="20">
        <f t="shared" si="2"/>
        <v>0</v>
      </c>
    </row>
    <row r="47" spans="1:6">
      <c r="A47" s="18">
        <v>314</v>
      </c>
      <c r="B47" s="1" t="s">
        <v>611</v>
      </c>
      <c r="C47" s="9">
        <v>0</v>
      </c>
      <c r="D47" s="9">
        <v>0</v>
      </c>
      <c r="E47" s="9">
        <v>25</v>
      </c>
      <c r="F47" s="20">
        <f t="shared" si="2"/>
        <v>25</v>
      </c>
    </row>
    <row r="48" spans="1:6">
      <c r="A48" s="18">
        <v>315</v>
      </c>
      <c r="B48" s="1" t="s">
        <v>612</v>
      </c>
      <c r="C48" s="26">
        <v>0</v>
      </c>
      <c r="D48" s="26">
        <v>0</v>
      </c>
      <c r="E48" s="26">
        <v>0</v>
      </c>
      <c r="F48" s="10">
        <f t="shared" si="2"/>
        <v>0</v>
      </c>
    </row>
    <row r="49" spans="1:6">
      <c r="A49" s="3"/>
      <c r="C49" s="9">
        <f>SUM(C43:C48)</f>
        <v>0</v>
      </c>
      <c r="D49" s="9">
        <f>SUM(D43:D48)</f>
        <v>0</v>
      </c>
      <c r="E49" s="9">
        <f>SUM(E43:E48)</f>
        <v>33</v>
      </c>
      <c r="F49" s="9">
        <f>SUM(F43:F48)</f>
        <v>33</v>
      </c>
    </row>
    <row r="50" spans="1:6">
      <c r="A50" s="3"/>
      <c r="C50" s="9"/>
      <c r="D50" s="20"/>
      <c r="E50" s="9"/>
    </row>
    <row r="51" spans="1:6">
      <c r="A51" s="7" t="s">
        <v>659</v>
      </c>
      <c r="B51" s="8" t="s">
        <v>618</v>
      </c>
      <c r="C51" s="9">
        <v>5256</v>
      </c>
      <c r="D51" s="20">
        <v>160</v>
      </c>
      <c r="E51" s="9">
        <v>1677</v>
      </c>
      <c r="F51" s="20">
        <f t="shared" ref="F51:F56" si="3">SUM(C51:E51)</f>
        <v>7093</v>
      </c>
    </row>
    <row r="52" spans="1:6">
      <c r="A52" s="7" t="s">
        <v>624</v>
      </c>
      <c r="B52" s="8" t="s">
        <v>619</v>
      </c>
      <c r="C52" s="17">
        <v>3667</v>
      </c>
      <c r="D52" s="20">
        <v>0</v>
      </c>
      <c r="E52" s="9">
        <v>86</v>
      </c>
      <c r="F52" s="20">
        <f t="shared" si="3"/>
        <v>3753</v>
      </c>
    </row>
    <row r="53" spans="1:6">
      <c r="A53" s="7" t="s">
        <v>660</v>
      </c>
      <c r="B53" s="8" t="s">
        <v>620</v>
      </c>
      <c r="C53" s="17">
        <f>38321</f>
        <v>38321</v>
      </c>
      <c r="D53" s="20">
        <v>224</v>
      </c>
      <c r="E53" s="9">
        <v>6299</v>
      </c>
      <c r="F53" s="20">
        <f t="shared" si="3"/>
        <v>44844</v>
      </c>
    </row>
    <row r="54" spans="1:6">
      <c r="A54" s="7" t="s">
        <v>661</v>
      </c>
      <c r="B54" s="8" t="s">
        <v>621</v>
      </c>
      <c r="C54" s="17">
        <f>45889</f>
        <v>45889</v>
      </c>
      <c r="D54" s="20">
        <v>110</v>
      </c>
      <c r="E54" s="9">
        <v>2508</v>
      </c>
      <c r="F54" s="20">
        <f t="shared" si="3"/>
        <v>48507</v>
      </c>
    </row>
    <row r="55" spans="1:6">
      <c r="A55" s="7" t="s">
        <v>662</v>
      </c>
      <c r="B55" s="8" t="s">
        <v>622</v>
      </c>
      <c r="C55" s="17">
        <v>5241</v>
      </c>
      <c r="D55" s="17">
        <v>232</v>
      </c>
      <c r="E55" s="25">
        <v>1299</v>
      </c>
      <c r="F55" s="20">
        <f t="shared" si="3"/>
        <v>6772</v>
      </c>
    </row>
    <row r="56" spans="1:6">
      <c r="A56" s="18">
        <v>327</v>
      </c>
      <c r="B56" s="1" t="s">
        <v>623</v>
      </c>
      <c r="C56" s="20">
        <v>0</v>
      </c>
      <c r="D56" s="20">
        <v>0</v>
      </c>
      <c r="E56" s="9">
        <v>3</v>
      </c>
      <c r="F56" s="20">
        <f t="shared" si="3"/>
        <v>3</v>
      </c>
    </row>
    <row r="57" spans="1:6">
      <c r="A57" s="18" t="s">
        <v>687</v>
      </c>
      <c r="B57" s="1" t="s">
        <v>686</v>
      </c>
      <c r="C57" s="10">
        <v>7</v>
      </c>
      <c r="D57" s="10">
        <v>0</v>
      </c>
      <c r="E57" s="26">
        <v>0</v>
      </c>
      <c r="F57" s="10">
        <f>SUM(C57:E57)</f>
        <v>7</v>
      </c>
    </row>
    <row r="58" spans="1:6">
      <c r="A58" s="3"/>
      <c r="C58" s="9">
        <f>SUM(C51:C57)</f>
        <v>98381</v>
      </c>
      <c r="D58" s="9">
        <f>SUM(D51:D57)</f>
        <v>726</v>
      </c>
      <c r="E58" s="9">
        <f>SUM(E51:E57)</f>
        <v>11872</v>
      </c>
      <c r="F58" s="9">
        <f>SUM(F51:F57)</f>
        <v>110979</v>
      </c>
    </row>
    <row r="59" spans="1:6">
      <c r="A59" s="3"/>
      <c r="C59" s="9"/>
      <c r="D59" s="20"/>
      <c r="E59" s="9"/>
    </row>
    <row r="60" spans="1:6">
      <c r="A60" s="7" t="s">
        <v>8</v>
      </c>
      <c r="B60" s="8" t="s">
        <v>29</v>
      </c>
      <c r="C60" s="9">
        <v>61</v>
      </c>
      <c r="D60" s="20">
        <v>0</v>
      </c>
      <c r="E60" s="9">
        <v>0</v>
      </c>
      <c r="F60" s="20">
        <f>SUM(C60:E60)</f>
        <v>61</v>
      </c>
    </row>
    <row r="61" spans="1:6">
      <c r="A61" s="7" t="s">
        <v>663</v>
      </c>
      <c r="B61" s="8" t="s">
        <v>30</v>
      </c>
      <c r="C61" s="17">
        <v>870</v>
      </c>
      <c r="D61" s="20">
        <v>43</v>
      </c>
      <c r="E61" s="9">
        <v>37</v>
      </c>
      <c r="F61" s="20">
        <f>SUM(C61:E61)</f>
        <v>950</v>
      </c>
    </row>
    <row r="62" spans="1:6">
      <c r="A62" s="7">
        <v>132</v>
      </c>
      <c r="B62" s="8" t="s">
        <v>89</v>
      </c>
      <c r="C62" s="10">
        <v>2</v>
      </c>
      <c r="D62" s="10">
        <v>0</v>
      </c>
      <c r="E62" s="26">
        <v>0</v>
      </c>
      <c r="F62" s="10">
        <f>SUM(C62:E62)</f>
        <v>2</v>
      </c>
    </row>
    <row r="63" spans="1:6">
      <c r="A63" s="3"/>
      <c r="C63" s="9">
        <f>SUM(C60:C62)</f>
        <v>933</v>
      </c>
      <c r="D63" s="9">
        <f>SUM(D60:D62)</f>
        <v>43</v>
      </c>
      <c r="E63" s="9">
        <f>SUM(E60:E62)</f>
        <v>37</v>
      </c>
      <c r="F63" s="9">
        <f>SUM(F60:F62)</f>
        <v>1013</v>
      </c>
    </row>
    <row r="64" spans="1:6">
      <c r="A64" s="3"/>
      <c r="C64" s="9"/>
      <c r="D64" s="20"/>
      <c r="E64" s="9"/>
    </row>
    <row r="65" spans="1:6">
      <c r="A65" s="7" t="s">
        <v>615</v>
      </c>
      <c r="B65" s="8" t="s">
        <v>31</v>
      </c>
      <c r="C65" s="9">
        <v>1215</v>
      </c>
      <c r="D65" s="20">
        <v>0</v>
      </c>
      <c r="E65" s="9">
        <v>153</v>
      </c>
      <c r="F65" s="20">
        <f t="shared" ref="F65:F70" si="4">SUM(C65:E65)</f>
        <v>1368</v>
      </c>
    </row>
    <row r="66" spans="1:6">
      <c r="A66" s="7" t="s">
        <v>616</v>
      </c>
      <c r="B66" s="8" t="s">
        <v>32</v>
      </c>
      <c r="C66" s="17">
        <v>833</v>
      </c>
      <c r="D66" s="20">
        <v>0</v>
      </c>
      <c r="E66" s="9">
        <v>11</v>
      </c>
      <c r="F66" s="20">
        <f t="shared" si="4"/>
        <v>844</v>
      </c>
    </row>
    <row r="67" spans="1:6">
      <c r="A67" s="7" t="s">
        <v>617</v>
      </c>
      <c r="B67" s="8" t="s">
        <v>90</v>
      </c>
      <c r="C67" s="20">
        <v>64</v>
      </c>
      <c r="D67" s="20">
        <v>0</v>
      </c>
      <c r="E67" s="9">
        <v>66</v>
      </c>
      <c r="F67" s="20">
        <f t="shared" si="4"/>
        <v>130</v>
      </c>
    </row>
    <row r="68" spans="1:6">
      <c r="A68" s="7">
        <v>143</v>
      </c>
      <c r="B68" s="8" t="s">
        <v>96</v>
      </c>
      <c r="C68" s="20">
        <v>0</v>
      </c>
      <c r="D68" s="20">
        <v>1</v>
      </c>
      <c r="E68" s="9">
        <v>0</v>
      </c>
      <c r="F68" s="20">
        <f t="shared" si="4"/>
        <v>1</v>
      </c>
    </row>
    <row r="69" spans="1:6">
      <c r="A69" s="18">
        <v>344</v>
      </c>
      <c r="B69" s="1" t="s">
        <v>100</v>
      </c>
      <c r="C69" s="20">
        <v>0</v>
      </c>
      <c r="D69" s="20">
        <v>0</v>
      </c>
      <c r="E69" s="9">
        <v>72</v>
      </c>
      <c r="F69" s="20">
        <f t="shared" si="4"/>
        <v>72</v>
      </c>
    </row>
    <row r="70" spans="1:6">
      <c r="A70" s="18">
        <v>345</v>
      </c>
      <c r="B70" s="1" t="s">
        <v>96</v>
      </c>
      <c r="C70" s="10">
        <v>0</v>
      </c>
      <c r="D70" s="10">
        <v>0</v>
      </c>
      <c r="E70" s="26">
        <v>3</v>
      </c>
      <c r="F70" s="10">
        <f t="shared" si="4"/>
        <v>3</v>
      </c>
    </row>
    <row r="71" spans="1:6">
      <c r="A71" s="3"/>
      <c r="C71" s="9">
        <f>SUM(C65:C70)</f>
        <v>2112</v>
      </c>
      <c r="D71" s="9">
        <f>SUM(D65:D70)</f>
        <v>1</v>
      </c>
      <c r="E71" s="9">
        <f>SUM(E65:E70)</f>
        <v>305</v>
      </c>
      <c r="F71" s="9">
        <f>SUM(F65:F70)</f>
        <v>2418</v>
      </c>
    </row>
    <row r="72" spans="1:6">
      <c r="A72" s="3"/>
      <c r="C72" s="9"/>
      <c r="D72" s="20"/>
      <c r="E72" s="9"/>
    </row>
    <row r="73" spans="1:6" ht="15.75">
      <c r="A73" s="3"/>
      <c r="B73" s="8" t="s">
        <v>33</v>
      </c>
      <c r="C73" s="11">
        <f>SUM(C9:C71)/2</f>
        <v>120725</v>
      </c>
      <c r="D73" s="11">
        <f>SUM(D9:D71)/2</f>
        <v>894</v>
      </c>
      <c r="E73" s="11">
        <f>SUM(E9:E71)/2</f>
        <v>12668</v>
      </c>
      <c r="F73" s="11">
        <f>SUM(F9:F71)/2</f>
        <v>134287</v>
      </c>
    </row>
    <row r="74" spans="1:6">
      <c r="A74" s="3"/>
      <c r="B74" s="3"/>
      <c r="C74" s="3"/>
    </row>
  </sheetData>
  <phoneticPr fontId="0" type="noConversion"/>
  <printOptions horizontalCentered="1"/>
  <pageMargins left="0.5" right="0.5" top="0.5" bottom="0.65277777777777779" header="0" footer="0"/>
  <pageSetup scale="65" orientation="portrait" r:id="rId1"/>
  <headerFooter alignWithMargins="0">
    <oddFooter>&amp;LDate 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showOutlineSymbols="0" zoomScale="75" zoomScaleNormal="75" workbookViewId="0">
      <selection activeCell="H11" sqref="H11"/>
    </sheetView>
  </sheetViews>
  <sheetFormatPr defaultColWidth="11.6640625" defaultRowHeight="15"/>
  <cols>
    <col min="1" max="1" width="34.21875" style="1" customWidth="1"/>
    <col min="2" max="2" width="10.33203125" style="1" customWidth="1"/>
    <col min="3" max="3" width="13.6640625" style="1" customWidth="1"/>
    <col min="4" max="4" width="11.6640625" style="1"/>
    <col min="5" max="5" width="12.6640625" style="1" customWidth="1"/>
    <col min="6" max="8" width="11.6640625" style="1"/>
    <col min="9" max="9" width="12.6640625" style="1" customWidth="1"/>
    <col min="10" max="12" width="11.6640625" style="1"/>
    <col min="13" max="13" width="5.77734375" style="1" customWidth="1"/>
    <col min="14" max="16384" width="11.6640625" style="1"/>
  </cols>
  <sheetData>
    <row r="1" spans="1:17" ht="20.25">
      <c r="B1" s="203"/>
      <c r="C1" s="28"/>
      <c r="D1" s="369" t="s">
        <v>690</v>
      </c>
      <c r="E1" s="370"/>
      <c r="F1" s="370"/>
      <c r="G1" s="370"/>
      <c r="H1" s="370"/>
      <c r="I1" s="370"/>
      <c r="J1" s="370"/>
      <c r="K1" s="370"/>
      <c r="L1" s="370"/>
      <c r="N1" s="333" t="s">
        <v>789</v>
      </c>
    </row>
    <row r="2" spans="1:17" ht="18">
      <c r="B2" s="27"/>
      <c r="C2" s="28"/>
      <c r="D2" s="371" t="s">
        <v>793</v>
      </c>
      <c r="E2" s="372"/>
      <c r="F2" s="372"/>
      <c r="G2" s="372"/>
      <c r="H2" s="372"/>
      <c r="I2" s="372"/>
      <c r="J2" s="372"/>
      <c r="K2" s="372"/>
      <c r="L2" s="372"/>
      <c r="N2" s="335" t="s">
        <v>793</v>
      </c>
    </row>
    <row r="3" spans="1:17" ht="18">
      <c r="A3" s="27"/>
      <c r="B3" s="27"/>
      <c r="C3" s="28"/>
      <c r="D3" s="28"/>
      <c r="E3" s="28"/>
      <c r="F3" s="28"/>
      <c r="G3" s="28"/>
      <c r="H3" s="28"/>
      <c r="I3" s="185"/>
      <c r="J3" s="185"/>
      <c r="K3" s="185"/>
      <c r="L3" s="185"/>
    </row>
    <row r="4" spans="1:17" ht="15.75">
      <c r="G4" s="245" t="s">
        <v>792</v>
      </c>
      <c r="H4" s="246" t="s">
        <v>792</v>
      </c>
      <c r="I4" s="169" t="s">
        <v>630</v>
      </c>
      <c r="N4" s="169" t="s">
        <v>85</v>
      </c>
    </row>
    <row r="5" spans="1:17" ht="15.75">
      <c r="B5" s="169" t="s">
        <v>443</v>
      </c>
      <c r="C5" s="4"/>
      <c r="D5" s="12" t="s">
        <v>85</v>
      </c>
      <c r="E5" s="4"/>
      <c r="F5" s="4"/>
      <c r="G5" s="247" t="s">
        <v>697</v>
      </c>
      <c r="H5" s="248" t="s">
        <v>697</v>
      </c>
      <c r="I5" s="169" t="s">
        <v>631</v>
      </c>
      <c r="J5" s="169" t="s">
        <v>632</v>
      </c>
      <c r="L5" s="169" t="s">
        <v>635</v>
      </c>
      <c r="N5" s="12" t="s">
        <v>86</v>
      </c>
      <c r="O5" s="169" t="s">
        <v>87</v>
      </c>
      <c r="P5" s="169" t="s">
        <v>88</v>
      </c>
    </row>
    <row r="6" spans="1:17" ht="15.75">
      <c r="A6" s="16" t="s">
        <v>9</v>
      </c>
      <c r="B6" s="16" t="s">
        <v>34</v>
      </c>
      <c r="C6" s="16" t="s">
        <v>84</v>
      </c>
      <c r="D6" s="16" t="s">
        <v>86</v>
      </c>
      <c r="E6" s="16" t="s">
        <v>87</v>
      </c>
      <c r="F6" s="16" t="s">
        <v>88</v>
      </c>
      <c r="G6" s="249" t="s">
        <v>631</v>
      </c>
      <c r="H6" s="250" t="s">
        <v>635</v>
      </c>
      <c r="I6" s="204" t="s">
        <v>794</v>
      </c>
      <c r="J6" s="16" t="s">
        <v>633</v>
      </c>
      <c r="K6" s="16" t="s">
        <v>634</v>
      </c>
      <c r="L6" s="16" t="s">
        <v>636</v>
      </c>
      <c r="N6" s="16" t="s">
        <v>635</v>
      </c>
      <c r="O6" s="16" t="s">
        <v>635</v>
      </c>
      <c r="P6" s="16" t="s">
        <v>635</v>
      </c>
      <c r="Q6" s="16" t="s">
        <v>50</v>
      </c>
    </row>
    <row r="7" spans="1:17">
      <c r="G7" s="251"/>
      <c r="H7" s="252"/>
    </row>
    <row r="8" spans="1:17" ht="15.75">
      <c r="A8" s="4" t="s">
        <v>72</v>
      </c>
      <c r="B8" s="4"/>
      <c r="G8" s="251"/>
      <c r="H8" s="252"/>
    </row>
    <row r="9" spans="1:17">
      <c r="G9" s="251"/>
      <c r="H9" s="252"/>
    </row>
    <row r="10" spans="1:17">
      <c r="A10" s="8" t="s">
        <v>73</v>
      </c>
      <c r="B10" s="188" t="s">
        <v>0</v>
      </c>
      <c r="C10" s="1">
        <v>97</v>
      </c>
      <c r="D10" s="13">
        <f t="shared" ref="D10:F11" si="0">D20</f>
        <v>9.6300000000000008</v>
      </c>
      <c r="E10" s="13">
        <f t="shared" si="0"/>
        <v>3.13</v>
      </c>
      <c r="F10" s="13">
        <f t="shared" si="0"/>
        <v>6.2643817734874032</v>
      </c>
      <c r="G10" s="253">
        <f>SUM(D10:F10)</f>
        <v>19.024381773487406</v>
      </c>
      <c r="H10" s="266">
        <f>G10*K10*12</f>
        <v>7077.0700197373144</v>
      </c>
      <c r="I10" s="170">
        <f>+'2005 Stlgt Rates'!I14</f>
        <v>17.18</v>
      </c>
      <c r="J10" s="172">
        <f>+G10/I10-1</f>
        <v>0.10735633140206091</v>
      </c>
      <c r="K10" s="20">
        <f>+'Schedule 1'!C9</f>
        <v>31</v>
      </c>
      <c r="L10" s="175">
        <f>ROUND((G10-I10)*K10*12,0)</f>
        <v>686</v>
      </c>
      <c r="N10" s="174">
        <f>$D10*$K10*12</f>
        <v>3582.3600000000006</v>
      </c>
      <c r="O10" s="174">
        <f>$E10*$K10*12</f>
        <v>1164.3600000000001</v>
      </c>
      <c r="P10" s="174">
        <f>$F10*$K10*12</f>
        <v>2330.3500197373141</v>
      </c>
      <c r="Q10" s="174">
        <f>SUM(N10:P10)</f>
        <v>7077.0700197373153</v>
      </c>
    </row>
    <row r="11" spans="1:17">
      <c r="A11" s="8" t="s">
        <v>74</v>
      </c>
      <c r="B11" s="188" t="s">
        <v>1</v>
      </c>
      <c r="C11" s="1">
        <v>154</v>
      </c>
      <c r="D11" s="15">
        <f t="shared" si="0"/>
        <v>15.29</v>
      </c>
      <c r="E11" s="14">
        <f t="shared" si="0"/>
        <v>3.13</v>
      </c>
      <c r="F11" s="14">
        <f t="shared" si="0"/>
        <v>6.4020051068207353</v>
      </c>
      <c r="G11" s="254">
        <f>SUM(D11:F11)</f>
        <v>24.822005106820733</v>
      </c>
      <c r="H11" s="262">
        <f>G11*K11*12</f>
        <v>893.59218384554629</v>
      </c>
      <c r="I11" s="171">
        <f>+'2005 Stlgt Rates'!I15</f>
        <v>24.91</v>
      </c>
      <c r="J11" s="172">
        <f>+G11/I11-1</f>
        <v>-3.5325127731540285E-3</v>
      </c>
      <c r="K11" s="20">
        <f>+'Schedule 1'!C10</f>
        <v>3</v>
      </c>
      <c r="L11" s="174">
        <f>ROUND((G11-I11)*K11*12,0)</f>
        <v>-3</v>
      </c>
      <c r="N11" s="174">
        <f>$D11*$K11*12</f>
        <v>550.43999999999994</v>
      </c>
      <c r="O11" s="174">
        <f>$E11*$K11*12</f>
        <v>112.68</v>
      </c>
      <c r="P11" s="174">
        <f>$F11*$K11*12</f>
        <v>230.47218384554648</v>
      </c>
      <c r="Q11" s="174">
        <f>SUM(N11:P11)</f>
        <v>893.5921838455464</v>
      </c>
    </row>
    <row r="12" spans="1:17">
      <c r="B12" s="18"/>
      <c r="E12" s="14"/>
      <c r="F12" s="14"/>
      <c r="G12" s="254"/>
      <c r="H12" s="262"/>
    </row>
    <row r="13" spans="1:17" ht="15.75">
      <c r="A13" s="236" t="s">
        <v>73</v>
      </c>
      <c r="B13" s="269" t="s">
        <v>500</v>
      </c>
      <c r="C13" s="236">
        <v>97</v>
      </c>
      <c r="D13" s="238">
        <f>+D18</f>
        <v>5.16</v>
      </c>
      <c r="E13" s="239">
        <v>0</v>
      </c>
      <c r="F13" s="239">
        <v>0</v>
      </c>
      <c r="G13" s="270">
        <f>SUM(D13:F13)</f>
        <v>5.16</v>
      </c>
      <c r="H13" s="271">
        <f>G13*K13*12</f>
        <v>433.44000000000005</v>
      </c>
      <c r="I13" s="240">
        <f>+'2005 Stlgt Rates'!I119</f>
        <v>12.6</v>
      </c>
      <c r="J13" s="241">
        <f>+G13/I13-1</f>
        <v>-0.59047619047619038</v>
      </c>
      <c r="K13" s="267">
        <f>+'Schedule 1'!E9</f>
        <v>7</v>
      </c>
      <c r="L13" s="268">
        <f>ROUND((G13-I13)*K13*12,0)</f>
        <v>-625</v>
      </c>
      <c r="N13" s="243">
        <f>$D13*$K13*12</f>
        <v>433.44000000000005</v>
      </c>
      <c r="O13" s="243">
        <f>$E13*$K13*12</f>
        <v>0</v>
      </c>
      <c r="P13" s="243">
        <f>$F13*$K13*12</f>
        <v>0</v>
      </c>
      <c r="Q13" s="243">
        <f>SUM(N13:P13)</f>
        <v>433.44000000000005</v>
      </c>
    </row>
    <row r="14" spans="1:17">
      <c r="B14" s="18"/>
      <c r="E14" s="14"/>
      <c r="F14" s="14"/>
      <c r="G14" s="254"/>
      <c r="H14" s="262">
        <f>SUM(H10:H13)</f>
        <v>8404.102203582861</v>
      </c>
      <c r="K14" s="20">
        <f>SUM(K10:K13)</f>
        <v>41</v>
      </c>
      <c r="L14" s="174">
        <f>SUM(L10:L13)</f>
        <v>58</v>
      </c>
    </row>
    <row r="15" spans="1:17" ht="15.75">
      <c r="A15" s="4" t="s">
        <v>75</v>
      </c>
      <c r="B15" s="12"/>
      <c r="E15" s="14"/>
      <c r="F15" s="14"/>
      <c r="G15" s="254"/>
      <c r="H15" s="262"/>
    </row>
    <row r="16" spans="1:17">
      <c r="B16" s="18"/>
      <c r="E16" s="14"/>
      <c r="F16" s="14"/>
      <c r="G16" s="254"/>
      <c r="H16" s="262"/>
    </row>
    <row r="17" spans="1:17">
      <c r="A17" s="8" t="s">
        <v>12</v>
      </c>
      <c r="B17" s="18">
        <v>100</v>
      </c>
      <c r="C17" s="1">
        <v>43</v>
      </c>
      <c r="D17" s="15">
        <f t="shared" ref="D17:D23" si="1">ROUND(+C17*I$149,2)</f>
        <v>4.2699999999999996</v>
      </c>
      <c r="E17" s="14">
        <f>'Schedule 2'!$H$12</f>
        <v>3.13</v>
      </c>
      <c r="F17" s="14">
        <f>'Schedule 4'!$H17</f>
        <v>5.3067816734874027</v>
      </c>
      <c r="G17" s="254">
        <f t="shared" ref="G17:G24" si="2">SUM(D17:F17)</f>
        <v>12.706781673487402</v>
      </c>
      <c r="H17" s="262">
        <f t="shared" ref="H17:H24" si="3">G17*K17*12</f>
        <v>41017.491242017335</v>
      </c>
      <c r="I17" s="171">
        <f>+'2005 Stlgt Rates'!I19</f>
        <v>9.8000000000000007</v>
      </c>
      <c r="J17" s="172">
        <f t="shared" ref="J17:J24" si="4">+G17/I17-1</f>
        <v>0.29661037484565322</v>
      </c>
      <c r="K17" s="20">
        <f>+'Schedule 1'!C13</f>
        <v>269</v>
      </c>
      <c r="L17" s="174">
        <f t="shared" ref="L17:L24" si="5">ROUND((G17-I17)*K17*12,0)</f>
        <v>9383</v>
      </c>
      <c r="N17" s="174">
        <f t="shared" ref="N17:N24" si="6">$D17*$K17*12</f>
        <v>13783.559999999998</v>
      </c>
      <c r="O17" s="174">
        <f t="shared" ref="O17:O24" si="7">$E17*$K17*12</f>
        <v>10103.64</v>
      </c>
      <c r="P17" s="174">
        <f t="shared" ref="P17:P24" si="8">$F17*$K17*12</f>
        <v>17130.291242017338</v>
      </c>
      <c r="Q17" s="174">
        <f t="shared" ref="Q17:Q24" si="9">SUM(N17:P17)</f>
        <v>41017.491242017335</v>
      </c>
    </row>
    <row r="18" spans="1:17">
      <c r="A18" s="8" t="s">
        <v>13</v>
      </c>
      <c r="B18" s="18">
        <v>101</v>
      </c>
      <c r="C18" s="1">
        <v>52</v>
      </c>
      <c r="D18" s="15">
        <f t="shared" si="1"/>
        <v>5.16</v>
      </c>
      <c r="E18" s="14">
        <f>'Schedule 2'!$H$13</f>
        <v>4.17</v>
      </c>
      <c r="F18" s="14">
        <f>'Schedule 4'!$H18</f>
        <v>4.9681626734874031</v>
      </c>
      <c r="G18" s="254">
        <f t="shared" si="2"/>
        <v>14.298162673487404</v>
      </c>
      <c r="H18" s="262">
        <f t="shared" si="3"/>
        <v>2052415.4628030758</v>
      </c>
      <c r="I18" s="171">
        <f>+'2005 Stlgt Rates'!I20</f>
        <v>11.33</v>
      </c>
      <c r="J18" s="172">
        <f t="shared" si="4"/>
        <v>0.26197375758935615</v>
      </c>
      <c r="K18" s="20">
        <f>+'Schedule 1'!C14</f>
        <v>11962</v>
      </c>
      <c r="L18" s="174">
        <f t="shared" si="5"/>
        <v>426062</v>
      </c>
      <c r="N18" s="174">
        <f t="shared" si="6"/>
        <v>740687.04</v>
      </c>
      <c r="O18" s="174">
        <f t="shared" si="7"/>
        <v>598578.48</v>
      </c>
      <c r="P18" s="174">
        <f t="shared" si="8"/>
        <v>713149.94280307577</v>
      </c>
      <c r="Q18" s="174">
        <f t="shared" si="9"/>
        <v>2052415.4628030758</v>
      </c>
    </row>
    <row r="19" spans="1:17">
      <c r="A19" s="8" t="s">
        <v>14</v>
      </c>
      <c r="B19" s="18">
        <v>102</v>
      </c>
      <c r="C19" s="1">
        <v>69</v>
      </c>
      <c r="D19" s="15">
        <f t="shared" si="1"/>
        <v>6.85</v>
      </c>
      <c r="E19" s="14">
        <f>'Schedule 2'!$H$12</f>
        <v>3.13</v>
      </c>
      <c r="F19" s="14">
        <f>'Schedule 4'!$H19</f>
        <v>4.92032934015407</v>
      </c>
      <c r="G19" s="254">
        <f t="shared" si="2"/>
        <v>14.90032934015407</v>
      </c>
      <c r="H19" s="262">
        <f t="shared" si="3"/>
        <v>563232.44905782386</v>
      </c>
      <c r="I19" s="171">
        <f>+'2005 Stlgt Rates'!I22</f>
        <v>13.35</v>
      </c>
      <c r="J19" s="172">
        <f t="shared" si="4"/>
        <v>0.11612953858831987</v>
      </c>
      <c r="K19" s="20">
        <f>+'Schedule 1'!C15</f>
        <v>3150</v>
      </c>
      <c r="L19" s="174">
        <f t="shared" si="5"/>
        <v>58602</v>
      </c>
      <c r="N19" s="174">
        <f t="shared" si="6"/>
        <v>258930</v>
      </c>
      <c r="O19" s="174">
        <f t="shared" si="7"/>
        <v>118314</v>
      </c>
      <c r="P19" s="174">
        <f t="shared" si="8"/>
        <v>185988.44905782383</v>
      </c>
      <c r="Q19" s="174">
        <f t="shared" si="9"/>
        <v>563232.44905782386</v>
      </c>
    </row>
    <row r="20" spans="1:17">
      <c r="A20" s="8" t="s">
        <v>15</v>
      </c>
      <c r="B20" s="18">
        <v>103</v>
      </c>
      <c r="C20" s="1">
        <v>97</v>
      </c>
      <c r="D20" s="15">
        <f t="shared" si="1"/>
        <v>9.6300000000000008</v>
      </c>
      <c r="E20" s="14">
        <f>'Schedule 2'!$H$12</f>
        <v>3.13</v>
      </c>
      <c r="F20" s="14">
        <f>'Schedule 4'!$H20</f>
        <v>6.2643817734874032</v>
      </c>
      <c r="G20" s="254">
        <f t="shared" si="2"/>
        <v>19.024381773487406</v>
      </c>
      <c r="H20" s="262">
        <f t="shared" si="3"/>
        <v>262308.17589284433</v>
      </c>
      <c r="I20" s="171">
        <f>+'2005 Stlgt Rates'!I24</f>
        <v>17.05</v>
      </c>
      <c r="J20" s="172">
        <f t="shared" si="4"/>
        <v>0.11579951750659268</v>
      </c>
      <c r="K20" s="20">
        <f>+'Schedule 1'!C16</f>
        <v>1149</v>
      </c>
      <c r="L20" s="174">
        <f t="shared" si="5"/>
        <v>27223</v>
      </c>
      <c r="N20" s="174">
        <f t="shared" si="6"/>
        <v>132778.44</v>
      </c>
      <c r="O20" s="174">
        <f t="shared" si="7"/>
        <v>43156.44</v>
      </c>
      <c r="P20" s="174">
        <f t="shared" si="8"/>
        <v>86373.295892844311</v>
      </c>
      <c r="Q20" s="174">
        <f t="shared" si="9"/>
        <v>262308.17589284433</v>
      </c>
    </row>
    <row r="21" spans="1:17">
      <c r="A21" s="8" t="s">
        <v>16</v>
      </c>
      <c r="B21" s="18">
        <v>104</v>
      </c>
      <c r="C21" s="1">
        <v>154</v>
      </c>
      <c r="D21" s="15">
        <f t="shared" si="1"/>
        <v>15.29</v>
      </c>
      <c r="E21" s="14">
        <f>'Schedule 2'!$H$12</f>
        <v>3.13</v>
      </c>
      <c r="F21" s="14">
        <f>'Schedule 4'!$H21</f>
        <v>6.4020051068207353</v>
      </c>
      <c r="G21" s="254">
        <f t="shared" si="2"/>
        <v>24.822005106820733</v>
      </c>
      <c r="H21" s="262">
        <f t="shared" si="3"/>
        <v>442030.26694226358</v>
      </c>
      <c r="I21" s="171">
        <f>+'2005 Stlgt Rates'!I27</f>
        <v>24.87</v>
      </c>
      <c r="J21" s="172">
        <f t="shared" si="4"/>
        <v>-1.9298308475781401E-3</v>
      </c>
      <c r="K21" s="20">
        <f>+'Schedule 1'!C17</f>
        <v>1484</v>
      </c>
      <c r="L21" s="174">
        <f t="shared" si="5"/>
        <v>-855</v>
      </c>
      <c r="N21" s="174">
        <f t="shared" si="6"/>
        <v>272284.31999999995</v>
      </c>
      <c r="O21" s="174">
        <f t="shared" si="7"/>
        <v>55739.040000000001</v>
      </c>
      <c r="P21" s="174">
        <f t="shared" si="8"/>
        <v>114006.90694226365</v>
      </c>
      <c r="Q21" s="174">
        <f t="shared" si="9"/>
        <v>442030.26694226358</v>
      </c>
    </row>
    <row r="22" spans="1:17">
      <c r="A22" s="8" t="s">
        <v>17</v>
      </c>
      <c r="B22" s="18">
        <v>105</v>
      </c>
      <c r="C22" s="1">
        <v>260</v>
      </c>
      <c r="D22" s="15">
        <f t="shared" si="1"/>
        <v>25.82</v>
      </c>
      <c r="E22" s="14">
        <f>'Schedule 2'!$H$12</f>
        <v>3.13</v>
      </c>
      <c r="F22" s="14">
        <f>'Schedule 4'!$H22</f>
        <v>8.4292637734874045</v>
      </c>
      <c r="G22" s="254">
        <f t="shared" si="2"/>
        <v>37.379263773487402</v>
      </c>
      <c r="H22" s="262">
        <f t="shared" si="3"/>
        <v>5382.6139833821862</v>
      </c>
      <c r="I22" s="171">
        <f>+'2005 Stlgt Rates'!I29</f>
        <v>46.6</v>
      </c>
      <c r="J22" s="172">
        <f t="shared" si="4"/>
        <v>-0.19786987610542062</v>
      </c>
      <c r="K22" s="20">
        <f>+'Schedule 1'!C18</f>
        <v>12</v>
      </c>
      <c r="L22" s="174">
        <f t="shared" si="5"/>
        <v>-1328</v>
      </c>
      <c r="N22" s="174">
        <f t="shared" si="6"/>
        <v>3718.0800000000004</v>
      </c>
      <c r="O22" s="174">
        <f t="shared" si="7"/>
        <v>450.72</v>
      </c>
      <c r="P22" s="174">
        <f t="shared" si="8"/>
        <v>1213.8139833821861</v>
      </c>
      <c r="Q22" s="174">
        <f t="shared" si="9"/>
        <v>5382.6139833821862</v>
      </c>
    </row>
    <row r="23" spans="1:17">
      <c r="A23" s="8" t="s">
        <v>18</v>
      </c>
      <c r="B23" s="18">
        <v>106</v>
      </c>
      <c r="C23" s="1">
        <v>363</v>
      </c>
      <c r="D23" s="15">
        <f t="shared" si="1"/>
        <v>36.049999999999997</v>
      </c>
      <c r="E23" s="14">
        <f>'Schedule 2'!$H$12</f>
        <v>3.13</v>
      </c>
      <c r="F23" s="14">
        <f>'Schedule 4'!$H23</f>
        <v>10.126991773487402</v>
      </c>
      <c r="G23" s="254">
        <f t="shared" si="2"/>
        <v>49.306991773487404</v>
      </c>
      <c r="H23" s="262">
        <f t="shared" si="3"/>
        <v>44967.97649742051</v>
      </c>
      <c r="I23" s="171">
        <f>+'2005 Stlgt Rates'!I31</f>
        <v>60.13</v>
      </c>
      <c r="J23" s="172">
        <f t="shared" si="4"/>
        <v>-0.17999348455866615</v>
      </c>
      <c r="K23" s="20">
        <f>+'Schedule 1'!C19</f>
        <v>76</v>
      </c>
      <c r="L23" s="174">
        <f t="shared" si="5"/>
        <v>-9871</v>
      </c>
      <c r="N23" s="174">
        <f t="shared" si="6"/>
        <v>32877.599999999999</v>
      </c>
      <c r="O23" s="174">
        <f t="shared" si="7"/>
        <v>2854.56</v>
      </c>
      <c r="P23" s="174">
        <f t="shared" si="8"/>
        <v>9235.8164974205101</v>
      </c>
      <c r="Q23" s="174">
        <f t="shared" si="9"/>
        <v>44967.976497420503</v>
      </c>
    </row>
    <row r="24" spans="1:17">
      <c r="A24" s="8" t="s">
        <v>19</v>
      </c>
      <c r="B24" s="18">
        <v>107</v>
      </c>
      <c r="C24" s="1">
        <v>213</v>
      </c>
      <c r="D24" s="15">
        <f>ROUND(+C24*I$158,2)</f>
        <v>14.14</v>
      </c>
      <c r="E24" s="14">
        <f>'Schedule 2'!$H$12*2</f>
        <v>6.26</v>
      </c>
      <c r="F24" s="14">
        <f>'Schedule 4'!$H24</f>
        <v>6.2643817734874032</v>
      </c>
      <c r="G24" s="254">
        <f t="shared" si="2"/>
        <v>26.664381773487403</v>
      </c>
      <c r="H24" s="262">
        <f t="shared" si="3"/>
        <v>1599.862906409244</v>
      </c>
      <c r="I24" s="171">
        <f>+'2005 Stlgt Rates'!I25</f>
        <v>26.05</v>
      </c>
      <c r="J24" s="172">
        <f t="shared" si="4"/>
        <v>2.3584712993758306E-2</v>
      </c>
      <c r="K24" s="20">
        <f>+'Schedule 1'!C20</f>
        <v>5</v>
      </c>
      <c r="L24" s="174">
        <f t="shared" si="5"/>
        <v>37</v>
      </c>
      <c r="N24" s="174">
        <f t="shared" si="6"/>
        <v>848.40000000000009</v>
      </c>
      <c r="O24" s="174">
        <f t="shared" si="7"/>
        <v>375.59999999999997</v>
      </c>
      <c r="P24" s="174">
        <f t="shared" si="8"/>
        <v>375.8629064092442</v>
      </c>
      <c r="Q24" s="174">
        <f t="shared" si="9"/>
        <v>1599.8629064092443</v>
      </c>
    </row>
    <row r="25" spans="1:17">
      <c r="B25" s="18"/>
      <c r="E25" s="14"/>
      <c r="F25" s="14"/>
      <c r="G25" s="254"/>
      <c r="H25" s="262"/>
    </row>
    <row r="26" spans="1:17">
      <c r="A26" s="8" t="s">
        <v>13</v>
      </c>
      <c r="B26" s="18">
        <v>201</v>
      </c>
      <c r="C26" s="1">
        <v>52</v>
      </c>
      <c r="D26" s="15">
        <f t="shared" ref="D26:D31" si="10">ROUND(+C26*I$149,2)</f>
        <v>5.16</v>
      </c>
      <c r="E26" s="14">
        <f>'Schedule 2'!$H$13</f>
        <v>4.17</v>
      </c>
      <c r="F26" s="14">
        <v>0</v>
      </c>
      <c r="G26" s="254">
        <f t="shared" ref="G26:G31" si="11">SUM(D26:F26)</f>
        <v>9.33</v>
      </c>
      <c r="H26" s="262">
        <f t="shared" ref="H26:H31" si="12">G26*K26*12</f>
        <v>1007.64</v>
      </c>
      <c r="I26" s="171">
        <f>+'2005 Stlgt Rates'!I21</f>
        <v>8.18</v>
      </c>
      <c r="J26" s="172">
        <f t="shared" ref="J26:J31" si="13">+G26/I26-1</f>
        <v>0.14058679706601462</v>
      </c>
      <c r="K26" s="20">
        <f>+'Schedule 1'!D14</f>
        <v>9</v>
      </c>
      <c r="L26" s="174">
        <f t="shared" ref="L26:L31" si="14">ROUND((G26-I26)*K26*12,0)</f>
        <v>124</v>
      </c>
      <c r="N26" s="174">
        <f t="shared" ref="N26:N31" si="15">$D26*$K26*12</f>
        <v>557.28</v>
      </c>
      <c r="O26" s="174">
        <f t="shared" ref="O26:O31" si="16">$E26*$K26*12</f>
        <v>450.36</v>
      </c>
      <c r="P26" s="174">
        <f t="shared" ref="P26:P31" si="17">$F26*$K26*12</f>
        <v>0</v>
      </c>
      <c r="Q26" s="174">
        <f t="shared" ref="Q26:Q31" si="18">SUM(N26:P26)</f>
        <v>1007.64</v>
      </c>
    </row>
    <row r="27" spans="1:17">
      <c r="A27" s="8" t="s">
        <v>14</v>
      </c>
      <c r="B27" s="18">
        <v>202</v>
      </c>
      <c r="C27" s="1">
        <v>69</v>
      </c>
      <c r="D27" s="15">
        <f t="shared" si="10"/>
        <v>6.85</v>
      </c>
      <c r="E27" s="14">
        <f>'Schedule 2'!$H$12</f>
        <v>3.13</v>
      </c>
      <c r="F27" s="14">
        <v>0</v>
      </c>
      <c r="G27" s="254">
        <f t="shared" si="11"/>
        <v>9.98</v>
      </c>
      <c r="H27" s="262">
        <f t="shared" si="12"/>
        <v>2874.2400000000002</v>
      </c>
      <c r="I27" s="171">
        <f>+'2005 Stlgt Rates'!I23</f>
        <v>10.06</v>
      </c>
      <c r="J27" s="172">
        <f t="shared" si="13"/>
        <v>-7.9522862823061535E-3</v>
      </c>
      <c r="K27" s="20">
        <f>+'Schedule 1'!D15</f>
        <v>24</v>
      </c>
      <c r="L27" s="174">
        <f t="shared" si="14"/>
        <v>-23</v>
      </c>
      <c r="N27" s="174">
        <f t="shared" si="15"/>
        <v>1972.7999999999997</v>
      </c>
      <c r="O27" s="174">
        <f t="shared" si="16"/>
        <v>901.44</v>
      </c>
      <c r="P27" s="174">
        <f t="shared" si="17"/>
        <v>0</v>
      </c>
      <c r="Q27" s="174">
        <f t="shared" si="18"/>
        <v>2874.24</v>
      </c>
    </row>
    <row r="28" spans="1:17">
      <c r="A28" s="8" t="s">
        <v>15</v>
      </c>
      <c r="B28" s="18">
        <v>203</v>
      </c>
      <c r="C28" s="1">
        <v>97</v>
      </c>
      <c r="D28" s="15">
        <f t="shared" si="10"/>
        <v>9.6300000000000008</v>
      </c>
      <c r="E28" s="14">
        <f>'Schedule 2'!$H$12</f>
        <v>3.13</v>
      </c>
      <c r="F28" s="14">
        <v>0</v>
      </c>
      <c r="G28" s="254">
        <f t="shared" si="11"/>
        <v>12.760000000000002</v>
      </c>
      <c r="H28" s="262">
        <f t="shared" si="12"/>
        <v>5206.08</v>
      </c>
      <c r="I28" s="171">
        <f>+'2005 Stlgt Rates'!I26</f>
        <v>13.67</v>
      </c>
      <c r="J28" s="172">
        <f t="shared" si="13"/>
        <v>-6.6569129480614331E-2</v>
      </c>
      <c r="K28" s="20">
        <f>+'Schedule 1'!D16</f>
        <v>34</v>
      </c>
      <c r="L28" s="174">
        <f t="shared" si="14"/>
        <v>-371</v>
      </c>
      <c r="N28" s="174">
        <f t="shared" si="15"/>
        <v>3929.04</v>
      </c>
      <c r="O28" s="174">
        <f t="shared" si="16"/>
        <v>1277.04</v>
      </c>
      <c r="P28" s="174">
        <f t="shared" si="17"/>
        <v>0</v>
      </c>
      <c r="Q28" s="174">
        <f t="shared" si="18"/>
        <v>5206.08</v>
      </c>
    </row>
    <row r="29" spans="1:17">
      <c r="A29" s="8" t="s">
        <v>16</v>
      </c>
      <c r="B29" s="18">
        <v>204</v>
      </c>
      <c r="C29" s="1">
        <v>154</v>
      </c>
      <c r="D29" s="15">
        <f t="shared" si="10"/>
        <v>15.29</v>
      </c>
      <c r="E29" s="14">
        <f>'Schedule 2'!$H$12</f>
        <v>3.13</v>
      </c>
      <c r="F29" s="14">
        <v>0</v>
      </c>
      <c r="G29" s="254">
        <f t="shared" si="11"/>
        <v>18.419999999999998</v>
      </c>
      <c r="H29" s="262">
        <f t="shared" si="12"/>
        <v>2210.3999999999996</v>
      </c>
      <c r="I29" s="171">
        <f>+'2005 Stlgt Rates'!I28</f>
        <v>21.09</v>
      </c>
      <c r="J29" s="172">
        <f t="shared" si="13"/>
        <v>-0.12660028449502136</v>
      </c>
      <c r="K29" s="20">
        <f>+'Schedule 1'!D17</f>
        <v>10</v>
      </c>
      <c r="L29" s="174">
        <f t="shared" si="14"/>
        <v>-320</v>
      </c>
      <c r="N29" s="174">
        <f t="shared" si="15"/>
        <v>1834.7999999999997</v>
      </c>
      <c r="O29" s="174">
        <f t="shared" si="16"/>
        <v>375.59999999999997</v>
      </c>
      <c r="P29" s="174">
        <f t="shared" si="17"/>
        <v>0</v>
      </c>
      <c r="Q29" s="174">
        <f t="shared" si="18"/>
        <v>2210.3999999999996</v>
      </c>
    </row>
    <row r="30" spans="1:17">
      <c r="A30" s="8" t="s">
        <v>17</v>
      </c>
      <c r="B30" s="18">
        <v>205</v>
      </c>
      <c r="C30" s="1">
        <v>260</v>
      </c>
      <c r="D30" s="15">
        <f t="shared" si="10"/>
        <v>25.82</v>
      </c>
      <c r="E30" s="14">
        <f>'Schedule 2'!$H$12</f>
        <v>3.13</v>
      </c>
      <c r="F30" s="14">
        <v>0</v>
      </c>
      <c r="G30" s="254">
        <f t="shared" si="11"/>
        <v>28.95</v>
      </c>
      <c r="H30" s="262">
        <f t="shared" si="12"/>
        <v>0</v>
      </c>
      <c r="I30" s="171">
        <f>+'2005 Stlgt Rates'!I30</f>
        <v>34.85</v>
      </c>
      <c r="J30" s="172">
        <f t="shared" si="13"/>
        <v>-0.16929698708751795</v>
      </c>
      <c r="K30" s="20">
        <f>+'Schedule 1'!D18</f>
        <v>0</v>
      </c>
      <c r="L30" s="174">
        <f t="shared" si="14"/>
        <v>0</v>
      </c>
      <c r="N30" s="174">
        <f t="shared" si="15"/>
        <v>0</v>
      </c>
      <c r="O30" s="174">
        <f t="shared" si="16"/>
        <v>0</v>
      </c>
      <c r="P30" s="174">
        <f t="shared" si="17"/>
        <v>0</v>
      </c>
      <c r="Q30" s="174">
        <f t="shared" si="18"/>
        <v>0</v>
      </c>
    </row>
    <row r="31" spans="1:17">
      <c r="A31" s="8" t="s">
        <v>18</v>
      </c>
      <c r="B31" s="18">
        <v>206</v>
      </c>
      <c r="C31" s="1">
        <v>363</v>
      </c>
      <c r="D31" s="15">
        <f t="shared" si="10"/>
        <v>36.049999999999997</v>
      </c>
      <c r="E31" s="14">
        <f>'Schedule 2'!$H$12</f>
        <v>3.13</v>
      </c>
      <c r="F31" s="14">
        <v>0</v>
      </c>
      <c r="G31" s="254">
        <f t="shared" si="11"/>
        <v>39.18</v>
      </c>
      <c r="H31" s="262">
        <f t="shared" si="12"/>
        <v>7992.7199999999993</v>
      </c>
      <c r="I31" s="171">
        <f>+'2005 Stlgt Rates'!I32</f>
        <v>48.23</v>
      </c>
      <c r="J31" s="172">
        <f t="shared" si="13"/>
        <v>-0.18764254613311215</v>
      </c>
      <c r="K31" s="20">
        <f>+'Schedule 1'!D19</f>
        <v>17</v>
      </c>
      <c r="L31" s="174">
        <f t="shared" si="14"/>
        <v>-1846</v>
      </c>
      <c r="N31" s="174">
        <f t="shared" si="15"/>
        <v>7354.1999999999989</v>
      </c>
      <c r="O31" s="174">
        <f t="shared" si="16"/>
        <v>638.52</v>
      </c>
      <c r="P31" s="174">
        <f t="shared" si="17"/>
        <v>0</v>
      </c>
      <c r="Q31" s="174">
        <f t="shared" si="18"/>
        <v>7992.7199999999993</v>
      </c>
    </row>
    <row r="32" spans="1:17">
      <c r="B32" s="18"/>
      <c r="E32" s="14"/>
      <c r="F32" s="14"/>
      <c r="G32" s="254"/>
      <c r="H32" s="262"/>
    </row>
    <row r="33" spans="1:17" ht="15.75">
      <c r="A33" s="176" t="s">
        <v>13</v>
      </c>
      <c r="B33" s="183">
        <v>301</v>
      </c>
      <c r="C33" s="176">
        <v>52</v>
      </c>
      <c r="D33" s="177">
        <f t="shared" ref="D33:D38" si="19">ROUND(+C33*I$149,2)</f>
        <v>5.16</v>
      </c>
      <c r="E33" s="178">
        <v>0</v>
      </c>
      <c r="F33" s="178">
        <v>0</v>
      </c>
      <c r="G33" s="255">
        <f t="shared" ref="G33:G38" si="20">SUM(D33:F33)</f>
        <v>5.16</v>
      </c>
      <c r="H33" s="264">
        <f t="shared" ref="H33:H38" si="21">G33*K33*12</f>
        <v>681.12000000000012</v>
      </c>
      <c r="I33" s="179">
        <f>+'2005 Stlgt Rates'!F123</f>
        <v>5.16</v>
      </c>
      <c r="J33" s="180">
        <f t="shared" ref="J33:J38" si="22">+G33/I33-1</f>
        <v>0</v>
      </c>
      <c r="K33" s="181">
        <f>+'Schedule 1'!E14</f>
        <v>11</v>
      </c>
      <c r="L33" s="182">
        <f t="shared" ref="L33:L38" si="23">ROUND((G33-I33)*K33*12,0)</f>
        <v>0</v>
      </c>
      <c r="N33" s="243">
        <f t="shared" ref="N33:N38" si="24">$D33*$K33*12</f>
        <v>681.12000000000012</v>
      </c>
      <c r="O33" s="243">
        <f t="shared" ref="O33:O38" si="25">$E33*$K33*12</f>
        <v>0</v>
      </c>
      <c r="P33" s="243">
        <f t="shared" ref="P33:P38" si="26">$F33*$K33*12</f>
        <v>0</v>
      </c>
      <c r="Q33" s="243">
        <f t="shared" ref="Q33:Q38" si="27">SUM(N33:P33)</f>
        <v>681.12000000000012</v>
      </c>
    </row>
    <row r="34" spans="1:17" ht="15.75">
      <c r="A34" s="176" t="s">
        <v>14</v>
      </c>
      <c r="B34" s="183">
        <v>302</v>
      </c>
      <c r="C34" s="176">
        <v>69</v>
      </c>
      <c r="D34" s="177">
        <f t="shared" si="19"/>
        <v>6.85</v>
      </c>
      <c r="E34" s="178">
        <v>0</v>
      </c>
      <c r="F34" s="178">
        <v>0</v>
      </c>
      <c r="G34" s="255">
        <f t="shared" si="20"/>
        <v>6.85</v>
      </c>
      <c r="H34" s="264">
        <f t="shared" si="21"/>
        <v>12576.599999999999</v>
      </c>
      <c r="I34" s="179">
        <f>+'2005 Stlgt Rates'!F124</f>
        <v>6.84</v>
      </c>
      <c r="J34" s="180">
        <f t="shared" si="22"/>
        <v>1.4619883040936088E-3</v>
      </c>
      <c r="K34" s="181">
        <f>+'Schedule 1'!E15</f>
        <v>153</v>
      </c>
      <c r="L34" s="182">
        <f t="shared" si="23"/>
        <v>18</v>
      </c>
      <c r="N34" s="243">
        <f t="shared" si="24"/>
        <v>12576.599999999999</v>
      </c>
      <c r="O34" s="243">
        <f t="shared" si="25"/>
        <v>0</v>
      </c>
      <c r="P34" s="243">
        <f t="shared" si="26"/>
        <v>0</v>
      </c>
      <c r="Q34" s="243">
        <f t="shared" si="27"/>
        <v>12576.599999999999</v>
      </c>
    </row>
    <row r="35" spans="1:17" ht="15.75">
      <c r="A35" s="176" t="s">
        <v>15</v>
      </c>
      <c r="B35" s="183">
        <v>303</v>
      </c>
      <c r="C35" s="176">
        <v>97</v>
      </c>
      <c r="D35" s="177">
        <f t="shared" si="19"/>
        <v>9.6300000000000008</v>
      </c>
      <c r="E35" s="178">
        <v>0</v>
      </c>
      <c r="F35" s="178">
        <v>0</v>
      </c>
      <c r="G35" s="255">
        <f t="shared" si="20"/>
        <v>9.6300000000000008</v>
      </c>
      <c r="H35" s="264">
        <f t="shared" si="21"/>
        <v>6240.2400000000016</v>
      </c>
      <c r="I35" s="179">
        <f>+'2005 Stlgt Rates'!F125</f>
        <v>9.6300000000000008</v>
      </c>
      <c r="J35" s="180">
        <f t="shared" si="22"/>
        <v>0</v>
      </c>
      <c r="K35" s="181">
        <f>+'Schedule 1'!E16</f>
        <v>54</v>
      </c>
      <c r="L35" s="182">
        <f t="shared" si="23"/>
        <v>0</v>
      </c>
      <c r="N35" s="243">
        <f t="shared" si="24"/>
        <v>6240.2400000000016</v>
      </c>
      <c r="O35" s="243">
        <f t="shared" si="25"/>
        <v>0</v>
      </c>
      <c r="P35" s="243">
        <f t="shared" si="26"/>
        <v>0</v>
      </c>
      <c r="Q35" s="243">
        <f t="shared" si="27"/>
        <v>6240.2400000000016</v>
      </c>
    </row>
    <row r="36" spans="1:17" ht="15.75">
      <c r="A36" s="176" t="s">
        <v>16</v>
      </c>
      <c r="B36" s="183">
        <v>304</v>
      </c>
      <c r="C36" s="176">
        <v>154</v>
      </c>
      <c r="D36" s="177">
        <f t="shared" si="19"/>
        <v>15.29</v>
      </c>
      <c r="E36" s="178">
        <v>0</v>
      </c>
      <c r="F36" s="178">
        <v>0</v>
      </c>
      <c r="G36" s="255">
        <f t="shared" si="20"/>
        <v>15.29</v>
      </c>
      <c r="H36" s="264">
        <f t="shared" si="21"/>
        <v>2935.68</v>
      </c>
      <c r="I36" s="179">
        <f>+'2005 Stlgt Rates'!F126</f>
        <v>15.29</v>
      </c>
      <c r="J36" s="180">
        <f t="shared" si="22"/>
        <v>0</v>
      </c>
      <c r="K36" s="181">
        <f>+'Schedule 1'!E17</f>
        <v>16</v>
      </c>
      <c r="L36" s="182">
        <f t="shared" si="23"/>
        <v>0</v>
      </c>
      <c r="N36" s="243">
        <f t="shared" si="24"/>
        <v>2935.68</v>
      </c>
      <c r="O36" s="243">
        <f t="shared" si="25"/>
        <v>0</v>
      </c>
      <c r="P36" s="243">
        <f t="shared" si="26"/>
        <v>0</v>
      </c>
      <c r="Q36" s="243">
        <f t="shared" si="27"/>
        <v>2935.68</v>
      </c>
    </row>
    <row r="37" spans="1:17" ht="15.75">
      <c r="A37" s="176" t="s">
        <v>17</v>
      </c>
      <c r="B37" s="183">
        <v>305</v>
      </c>
      <c r="C37" s="176">
        <v>260</v>
      </c>
      <c r="D37" s="177">
        <f t="shared" si="19"/>
        <v>25.82</v>
      </c>
      <c r="E37" s="178">
        <v>0</v>
      </c>
      <c r="F37" s="178">
        <v>0</v>
      </c>
      <c r="G37" s="255">
        <f t="shared" si="20"/>
        <v>25.82</v>
      </c>
      <c r="H37" s="264">
        <f t="shared" si="21"/>
        <v>309.84000000000003</v>
      </c>
      <c r="I37" s="179">
        <f>+'2005 Stlgt Rates'!F127</f>
        <v>25.82</v>
      </c>
      <c r="J37" s="180">
        <f t="shared" si="22"/>
        <v>0</v>
      </c>
      <c r="K37" s="181">
        <f>+'Schedule 1'!E18</f>
        <v>1</v>
      </c>
      <c r="L37" s="182">
        <f t="shared" si="23"/>
        <v>0</v>
      </c>
      <c r="N37" s="243">
        <f t="shared" si="24"/>
        <v>309.84000000000003</v>
      </c>
      <c r="O37" s="243">
        <f t="shared" si="25"/>
        <v>0</v>
      </c>
      <c r="P37" s="243">
        <f t="shared" si="26"/>
        <v>0</v>
      </c>
      <c r="Q37" s="243">
        <f t="shared" si="27"/>
        <v>309.84000000000003</v>
      </c>
    </row>
    <row r="38" spans="1:17" ht="15.75">
      <c r="A38" s="176" t="s">
        <v>18</v>
      </c>
      <c r="B38" s="183">
        <v>306</v>
      </c>
      <c r="C38" s="176">
        <v>363</v>
      </c>
      <c r="D38" s="177">
        <f t="shared" si="19"/>
        <v>36.049999999999997</v>
      </c>
      <c r="E38" s="178">
        <v>0</v>
      </c>
      <c r="F38" s="178">
        <v>0</v>
      </c>
      <c r="G38" s="255">
        <f t="shared" si="20"/>
        <v>36.049999999999997</v>
      </c>
      <c r="H38" s="263">
        <f t="shared" si="21"/>
        <v>3028.2</v>
      </c>
      <c r="I38" s="179">
        <f>+'2005 Stlgt Rates'!F128</f>
        <v>36.049999999999997</v>
      </c>
      <c r="J38" s="180">
        <f t="shared" si="22"/>
        <v>0</v>
      </c>
      <c r="K38" s="184">
        <f>+'Schedule 1'!E19</f>
        <v>7</v>
      </c>
      <c r="L38" s="200">
        <f t="shared" si="23"/>
        <v>0</v>
      </c>
      <c r="N38" s="243">
        <f t="shared" si="24"/>
        <v>3028.2</v>
      </c>
      <c r="O38" s="243">
        <f t="shared" si="25"/>
        <v>0</v>
      </c>
      <c r="P38" s="243">
        <f t="shared" si="26"/>
        <v>0</v>
      </c>
      <c r="Q38" s="243">
        <f t="shared" si="27"/>
        <v>3028.2</v>
      </c>
    </row>
    <row r="39" spans="1:17">
      <c r="B39" s="18"/>
      <c r="E39" s="14"/>
      <c r="F39" s="14"/>
      <c r="G39" s="254"/>
      <c r="H39" s="262">
        <f>SUM(H17:H38)</f>
        <v>3458017.0593252382</v>
      </c>
      <c r="K39" s="20">
        <f>SUM(K17:K38)</f>
        <v>18443</v>
      </c>
      <c r="L39" s="174">
        <f>SUM(L17:L38)</f>
        <v>506835</v>
      </c>
    </row>
    <row r="40" spans="1:17" ht="15.75">
      <c r="A40" s="4" t="s">
        <v>76</v>
      </c>
      <c r="B40" s="12"/>
      <c r="E40" s="14"/>
      <c r="F40" s="14"/>
      <c r="G40" s="254"/>
      <c r="H40" s="262"/>
    </row>
    <row r="41" spans="1:17">
      <c r="B41" s="18"/>
      <c r="E41" s="14"/>
      <c r="F41" s="14"/>
      <c r="G41" s="254"/>
      <c r="H41" s="262"/>
    </row>
    <row r="42" spans="1:17">
      <c r="A42" s="8" t="s">
        <v>20</v>
      </c>
      <c r="B42" s="18">
        <v>110</v>
      </c>
      <c r="C42" s="1">
        <v>30</v>
      </c>
      <c r="D42" s="15">
        <f t="shared" ref="D42:D48" si="28">ROUND(+C42*I$149,2)</f>
        <v>2.98</v>
      </c>
      <c r="E42" s="14">
        <f>'Schedule 2'!$H$14</f>
        <v>6.25</v>
      </c>
      <c r="F42" s="14">
        <f>'Schedule 4'!$H25</f>
        <v>4.2985534068207363</v>
      </c>
      <c r="G42" s="254">
        <f t="shared" ref="G42:G48" si="29">SUM(D42:F42)</f>
        <v>13.528553406820738</v>
      </c>
      <c r="H42" s="262">
        <f t="shared" ref="H42:H48" si="30">G42*K42*12</f>
        <v>148218.831125128</v>
      </c>
      <c r="I42" s="171">
        <f>+'2005 Stlgt Rates'!I38</f>
        <v>9.39</v>
      </c>
      <c r="J42" s="172">
        <f t="shared" ref="J42:J48" si="31">+G42/I42-1</f>
        <v>0.44074051190849173</v>
      </c>
      <c r="K42" s="20">
        <f>+'Schedule 1'!C23</f>
        <v>913</v>
      </c>
      <c r="L42" s="174">
        <f t="shared" ref="L42:L48" si="32">ROUND((G42-I42)*K42*12,0)</f>
        <v>45342</v>
      </c>
      <c r="N42" s="174">
        <f t="shared" ref="N42:N48" si="33">$D42*$K42*12</f>
        <v>32648.879999999997</v>
      </c>
      <c r="O42" s="174">
        <f t="shared" ref="O42:O48" si="34">$E42*$K42*12</f>
        <v>68475</v>
      </c>
      <c r="P42" s="174">
        <f t="shared" ref="P42:P48" si="35">$F42*$K42*12</f>
        <v>47094.951125127991</v>
      </c>
      <c r="Q42" s="174">
        <f t="shared" ref="Q42:Q48" si="36">SUM(N42:P42)</f>
        <v>148218.831125128</v>
      </c>
    </row>
    <row r="43" spans="1:17">
      <c r="A43" s="8" t="s">
        <v>21</v>
      </c>
      <c r="B43" s="18">
        <v>111</v>
      </c>
      <c r="C43" s="1">
        <v>85</v>
      </c>
      <c r="D43" s="15">
        <f t="shared" si="28"/>
        <v>8.44</v>
      </c>
      <c r="E43" s="14">
        <f>'Schedule 2'!$H$14</f>
        <v>6.25</v>
      </c>
      <c r="F43" s="14">
        <f>'Schedule 4'!$H26</f>
        <v>4.733665906820737</v>
      </c>
      <c r="G43" s="254">
        <f t="shared" si="29"/>
        <v>19.423665906820737</v>
      </c>
      <c r="H43" s="262">
        <f t="shared" si="30"/>
        <v>35661.850604922874</v>
      </c>
      <c r="I43" s="171">
        <f>+'2005 Stlgt Rates'!I40</f>
        <v>17.07</v>
      </c>
      <c r="J43" s="172">
        <f t="shared" si="31"/>
        <v>0.13788318141890676</v>
      </c>
      <c r="K43" s="20">
        <f>+'Schedule 1'!C24</f>
        <v>153</v>
      </c>
      <c r="L43" s="174">
        <f t="shared" si="32"/>
        <v>4321</v>
      </c>
      <c r="N43" s="174">
        <f t="shared" si="33"/>
        <v>15495.84</v>
      </c>
      <c r="O43" s="174">
        <f t="shared" si="34"/>
        <v>11475</v>
      </c>
      <c r="P43" s="174">
        <f t="shared" si="35"/>
        <v>8691.0106049228743</v>
      </c>
      <c r="Q43" s="174">
        <f t="shared" si="36"/>
        <v>35661.850604922874</v>
      </c>
    </row>
    <row r="44" spans="1:17">
      <c r="A44" s="8" t="s">
        <v>22</v>
      </c>
      <c r="B44" s="18">
        <v>112</v>
      </c>
      <c r="C44" s="1">
        <v>116</v>
      </c>
      <c r="D44" s="15">
        <f t="shared" si="28"/>
        <v>11.52</v>
      </c>
      <c r="E44" s="14">
        <f>'Schedule 2'!$H$14</f>
        <v>6.25</v>
      </c>
      <c r="F44" s="14">
        <f>'Schedule 4'!$H27</f>
        <v>5.5333367401540698</v>
      </c>
      <c r="G44" s="254">
        <f t="shared" si="29"/>
        <v>23.303336740154069</v>
      </c>
      <c r="H44" s="262">
        <f t="shared" si="30"/>
        <v>19015.522779965722</v>
      </c>
      <c r="I44" s="171">
        <f>+'2005 Stlgt Rates'!I46</f>
        <v>22.08</v>
      </c>
      <c r="J44" s="172">
        <f t="shared" si="31"/>
        <v>5.5404743666398248E-2</v>
      </c>
      <c r="K44" s="20">
        <f>+'Schedule 1'!C25</f>
        <v>68</v>
      </c>
      <c r="L44" s="174">
        <f t="shared" si="32"/>
        <v>998</v>
      </c>
      <c r="N44" s="174">
        <f t="shared" si="33"/>
        <v>9400.32</v>
      </c>
      <c r="O44" s="174">
        <f t="shared" si="34"/>
        <v>5100</v>
      </c>
      <c r="P44" s="174">
        <f t="shared" si="35"/>
        <v>4515.2027799657208</v>
      </c>
      <c r="Q44" s="174">
        <f t="shared" si="36"/>
        <v>19015.522779965722</v>
      </c>
    </row>
    <row r="45" spans="1:17">
      <c r="A45" s="8" t="s">
        <v>23</v>
      </c>
      <c r="B45" s="18">
        <v>113</v>
      </c>
      <c r="C45" s="1">
        <v>222</v>
      </c>
      <c r="D45" s="15">
        <f t="shared" si="28"/>
        <v>22.04</v>
      </c>
      <c r="E45" s="14">
        <f>'Schedule 2'!$H$14</f>
        <v>6.25</v>
      </c>
      <c r="F45" s="14">
        <f>'Schedule 4'!$H28</f>
        <v>7.4979200734874043</v>
      </c>
      <c r="G45" s="254">
        <f t="shared" si="29"/>
        <v>35.787920073487406</v>
      </c>
      <c r="H45" s="262">
        <f t="shared" si="30"/>
        <v>6441.8256132277329</v>
      </c>
      <c r="I45" s="171">
        <f>+'2005 Stlgt Rates'!I47</f>
        <v>38.299999999999997</v>
      </c>
      <c r="J45" s="172">
        <f t="shared" si="31"/>
        <v>-6.5589554217038937E-2</v>
      </c>
      <c r="K45" s="20">
        <f>+'Schedule 1'!C26</f>
        <v>15</v>
      </c>
      <c r="L45" s="174">
        <f t="shared" si="32"/>
        <v>-452</v>
      </c>
      <c r="N45" s="174">
        <f t="shared" si="33"/>
        <v>3967.2</v>
      </c>
      <c r="O45" s="174">
        <f t="shared" si="34"/>
        <v>1125</v>
      </c>
      <c r="P45" s="174">
        <f t="shared" si="35"/>
        <v>1349.6256132277326</v>
      </c>
      <c r="Q45" s="174">
        <f t="shared" si="36"/>
        <v>6441.8256132277329</v>
      </c>
    </row>
    <row r="46" spans="1:17">
      <c r="A46" s="8" t="s">
        <v>24</v>
      </c>
      <c r="B46" s="18">
        <v>114</v>
      </c>
      <c r="C46" s="1">
        <v>47</v>
      </c>
      <c r="D46" s="15">
        <f t="shared" si="28"/>
        <v>4.67</v>
      </c>
      <c r="E46" s="14">
        <f>'Schedule 2'!$H$14</f>
        <v>6.25</v>
      </c>
      <c r="F46" s="14">
        <f>'Schedule 4'!$H29</f>
        <v>5.2135367401540691</v>
      </c>
      <c r="G46" s="254">
        <f t="shared" si="29"/>
        <v>16.133536740154071</v>
      </c>
      <c r="H46" s="262">
        <f t="shared" si="30"/>
        <v>968.0122044092443</v>
      </c>
      <c r="I46" s="171">
        <f>+'2005 Stlgt Rates'!I49</f>
        <v>12.73</v>
      </c>
      <c r="J46" s="172">
        <f t="shared" si="31"/>
        <v>0.26736345170102682</v>
      </c>
      <c r="K46" s="20">
        <f>+'Schedule 1'!C27</f>
        <v>5</v>
      </c>
      <c r="L46" s="174">
        <f t="shared" si="32"/>
        <v>204</v>
      </c>
      <c r="N46" s="174">
        <f t="shared" si="33"/>
        <v>280.20000000000005</v>
      </c>
      <c r="O46" s="174">
        <f t="shared" si="34"/>
        <v>375</v>
      </c>
      <c r="P46" s="174">
        <f t="shared" si="35"/>
        <v>312.81220440924415</v>
      </c>
      <c r="Q46" s="174">
        <f t="shared" si="36"/>
        <v>968.01220440924419</v>
      </c>
    </row>
    <row r="47" spans="1:17">
      <c r="A47" s="8" t="s">
        <v>25</v>
      </c>
      <c r="B47" s="18">
        <v>115</v>
      </c>
      <c r="C47" s="1">
        <v>60</v>
      </c>
      <c r="D47" s="15">
        <f t="shared" si="28"/>
        <v>5.96</v>
      </c>
      <c r="E47" s="14">
        <f>'Schedule 2'!$H$14</f>
        <v>6.25</v>
      </c>
      <c r="F47" s="14">
        <f>'Schedule 4'!$H30</f>
        <v>4.5510450734874031</v>
      </c>
      <c r="G47" s="254">
        <f t="shared" si="29"/>
        <v>16.761045073487402</v>
      </c>
      <c r="H47" s="262">
        <f t="shared" si="30"/>
        <v>402.26508176369765</v>
      </c>
      <c r="I47" s="171">
        <f>+'2005 Stlgt Rates'!I44</f>
        <v>13.57</v>
      </c>
      <c r="J47" s="172">
        <f t="shared" si="31"/>
        <v>0.23515439008750194</v>
      </c>
      <c r="K47" s="20">
        <f>+'Schedule 1'!C28</f>
        <v>2</v>
      </c>
      <c r="L47" s="174">
        <f t="shared" si="32"/>
        <v>77</v>
      </c>
      <c r="N47" s="174">
        <f t="shared" si="33"/>
        <v>143.04</v>
      </c>
      <c r="O47" s="174">
        <f t="shared" si="34"/>
        <v>150</v>
      </c>
      <c r="P47" s="174">
        <f t="shared" si="35"/>
        <v>109.22508176369767</v>
      </c>
      <c r="Q47" s="174">
        <f t="shared" si="36"/>
        <v>402.26508176369765</v>
      </c>
    </row>
    <row r="48" spans="1:17">
      <c r="A48" s="8" t="s">
        <v>26</v>
      </c>
      <c r="B48" s="18">
        <v>116</v>
      </c>
      <c r="C48" s="1">
        <v>166</v>
      </c>
      <c r="D48" s="15">
        <f t="shared" si="28"/>
        <v>16.48</v>
      </c>
      <c r="E48" s="14">
        <f>'Schedule 2'!$H$14</f>
        <v>6.25</v>
      </c>
      <c r="F48" s="14">
        <f>'Schedule 4'!$H31</f>
        <v>5.707415906820736</v>
      </c>
      <c r="G48" s="254">
        <f t="shared" si="29"/>
        <v>28.437415906820736</v>
      </c>
      <c r="H48" s="265">
        <f t="shared" si="30"/>
        <v>682.49798176369768</v>
      </c>
      <c r="I48" s="171">
        <f>+'2005 Stlgt Rates'!I42</f>
        <v>28.79</v>
      </c>
      <c r="J48" s="172">
        <f t="shared" si="31"/>
        <v>-1.2246755581079016E-2</v>
      </c>
      <c r="K48" s="10">
        <f>+'Schedule 1'!C29</f>
        <v>2</v>
      </c>
      <c r="L48" s="199">
        <f t="shared" si="32"/>
        <v>-8</v>
      </c>
      <c r="N48" s="174">
        <f t="shared" si="33"/>
        <v>395.52</v>
      </c>
      <c r="O48" s="174">
        <f t="shared" si="34"/>
        <v>150</v>
      </c>
      <c r="P48" s="174">
        <f t="shared" si="35"/>
        <v>136.97798176369767</v>
      </c>
      <c r="Q48" s="174">
        <f t="shared" si="36"/>
        <v>682.49798176369768</v>
      </c>
    </row>
    <row r="49" spans="1:17">
      <c r="B49" s="18"/>
      <c r="E49" s="14"/>
      <c r="F49" s="14"/>
      <c r="G49" s="254"/>
      <c r="H49" s="262">
        <f>SUM(H42:H48)</f>
        <v>211390.805391181</v>
      </c>
      <c r="K49" s="20">
        <f>SUM(K42:K48)</f>
        <v>1158</v>
      </c>
      <c r="L49" s="174">
        <f>SUM(L42:L48)</f>
        <v>50482</v>
      </c>
    </row>
    <row r="50" spans="1:17">
      <c r="B50" s="18"/>
      <c r="E50" s="14"/>
      <c r="F50" s="14"/>
      <c r="G50" s="254"/>
      <c r="H50" s="262"/>
      <c r="K50" s="20"/>
    </row>
    <row r="51" spans="1:17">
      <c r="A51" s="8" t="s">
        <v>23</v>
      </c>
      <c r="B51" s="18">
        <v>213</v>
      </c>
      <c r="C51" s="1">
        <v>222</v>
      </c>
      <c r="D51" s="15">
        <f t="shared" ref="D51:D56" si="37">ROUND(+C51*I$149,2)</f>
        <v>22.04</v>
      </c>
      <c r="E51" s="14">
        <f>'Schedule 2'!$H$14</f>
        <v>6.25</v>
      </c>
      <c r="F51" s="14">
        <v>0</v>
      </c>
      <c r="G51" s="254">
        <f t="shared" ref="G51:G56" si="38">SUM(D51:F51)</f>
        <v>28.29</v>
      </c>
      <c r="H51" s="262">
        <f t="shared" ref="H51:H56" si="39">G51*K51*12</f>
        <v>0</v>
      </c>
      <c r="I51" s="171">
        <f>+'2005 Stlgt Rates'!I48</f>
        <v>30.53</v>
      </c>
      <c r="J51" s="172">
        <f t="shared" ref="J51:J56" si="40">+G51/I51-1</f>
        <v>-7.3370455289878844E-2</v>
      </c>
      <c r="K51" s="20">
        <f>+'Schedule 1'!D26</f>
        <v>0</v>
      </c>
      <c r="L51" s="174">
        <f t="shared" ref="L51:L56" si="41">ROUND((G51-I51)*K51*12,0)</f>
        <v>0</v>
      </c>
      <c r="N51" s="174">
        <f t="shared" ref="N51:N58" si="42">$D51*$K51*12</f>
        <v>0</v>
      </c>
      <c r="O51" s="174">
        <f t="shared" ref="O51:O58" si="43">$E51*$K51*12</f>
        <v>0</v>
      </c>
      <c r="P51" s="174">
        <f t="shared" ref="P51:P58" si="44">$F51*$K51*12</f>
        <v>0</v>
      </c>
      <c r="Q51" s="174">
        <f t="shared" ref="Q51:Q58" si="45">SUM(N51:P51)</f>
        <v>0</v>
      </c>
    </row>
    <row r="52" spans="1:17">
      <c r="A52" s="8" t="s">
        <v>24</v>
      </c>
      <c r="B52" s="18">
        <v>214</v>
      </c>
      <c r="C52" s="1">
        <v>47</v>
      </c>
      <c r="D52" s="15">
        <f t="shared" si="37"/>
        <v>4.67</v>
      </c>
      <c r="E52" s="14">
        <f>'Schedule 2'!$H$14</f>
        <v>6.25</v>
      </c>
      <c r="F52" s="14">
        <v>0</v>
      </c>
      <c r="G52" s="254">
        <f t="shared" si="38"/>
        <v>10.92</v>
      </c>
      <c r="H52" s="262">
        <f t="shared" si="39"/>
        <v>3407.04</v>
      </c>
      <c r="I52" s="171">
        <f>+'2005 Stlgt Rates'!I50</f>
        <v>7.81</v>
      </c>
      <c r="J52" s="172">
        <f t="shared" si="40"/>
        <v>0.39820742637644058</v>
      </c>
      <c r="K52" s="20">
        <f>+'Schedule 1'!D27</f>
        <v>26</v>
      </c>
      <c r="L52" s="174">
        <f t="shared" si="41"/>
        <v>970</v>
      </c>
      <c r="N52" s="174">
        <f t="shared" si="42"/>
        <v>1457.04</v>
      </c>
      <c r="O52" s="174">
        <f t="shared" si="43"/>
        <v>1950</v>
      </c>
      <c r="P52" s="174">
        <f t="shared" si="44"/>
        <v>0</v>
      </c>
      <c r="Q52" s="174">
        <f t="shared" si="45"/>
        <v>3407.04</v>
      </c>
    </row>
    <row r="53" spans="1:17">
      <c r="A53" s="8" t="s">
        <v>25</v>
      </c>
      <c r="B53" s="18">
        <v>215</v>
      </c>
      <c r="C53" s="1">
        <v>60</v>
      </c>
      <c r="D53" s="15">
        <f t="shared" si="37"/>
        <v>5.96</v>
      </c>
      <c r="E53" s="14">
        <f>'Schedule 2'!$H$14</f>
        <v>6.25</v>
      </c>
      <c r="F53" s="14">
        <v>0</v>
      </c>
      <c r="G53" s="254">
        <f t="shared" si="38"/>
        <v>12.21</v>
      </c>
      <c r="H53" s="262">
        <f t="shared" si="39"/>
        <v>439.56000000000006</v>
      </c>
      <c r="I53" s="171">
        <f>+'2005 Stlgt Rates'!I45</f>
        <v>9.5299999999999994</v>
      </c>
      <c r="J53" s="172">
        <f t="shared" si="40"/>
        <v>0.28121720881427081</v>
      </c>
      <c r="K53" s="20">
        <f>+'Schedule 1'!D28</f>
        <v>3</v>
      </c>
      <c r="L53" s="174">
        <f t="shared" si="41"/>
        <v>96</v>
      </c>
      <c r="N53" s="174">
        <f t="shared" si="42"/>
        <v>214.56</v>
      </c>
      <c r="O53" s="174">
        <f t="shared" si="43"/>
        <v>225</v>
      </c>
      <c r="P53" s="174">
        <f t="shared" si="44"/>
        <v>0</v>
      </c>
      <c r="Q53" s="174">
        <f t="shared" si="45"/>
        <v>439.56</v>
      </c>
    </row>
    <row r="54" spans="1:17" ht="15.75">
      <c r="A54" s="236" t="s">
        <v>26</v>
      </c>
      <c r="B54" s="237">
        <v>216</v>
      </c>
      <c r="C54" s="236">
        <v>166</v>
      </c>
      <c r="D54" s="238">
        <f t="shared" si="37"/>
        <v>16.48</v>
      </c>
      <c r="E54" s="239">
        <f>'Schedule 2'!$H$14</f>
        <v>6.25</v>
      </c>
      <c r="F54" s="239">
        <v>0</v>
      </c>
      <c r="G54" s="256">
        <f t="shared" si="38"/>
        <v>22.73</v>
      </c>
      <c r="H54" s="277">
        <f t="shared" si="39"/>
        <v>0</v>
      </c>
      <c r="I54" s="240">
        <f>+'2005 Stlgt Rates'!I43</f>
        <v>23.3</v>
      </c>
      <c r="J54" s="241">
        <f t="shared" si="40"/>
        <v>-2.4463519313304705E-2</v>
      </c>
      <c r="K54" s="242">
        <f>+'Schedule 1'!D29</f>
        <v>0</v>
      </c>
      <c r="L54" s="243">
        <f t="shared" si="41"/>
        <v>0</v>
      </c>
      <c r="N54" s="243">
        <f t="shared" si="42"/>
        <v>0</v>
      </c>
      <c r="O54" s="243">
        <f t="shared" si="43"/>
        <v>0</v>
      </c>
      <c r="P54" s="243">
        <f t="shared" si="44"/>
        <v>0</v>
      </c>
      <c r="Q54" s="243">
        <f t="shared" si="45"/>
        <v>0</v>
      </c>
    </row>
    <row r="55" spans="1:17">
      <c r="A55" s="8" t="s">
        <v>649</v>
      </c>
      <c r="B55" s="18">
        <v>217</v>
      </c>
      <c r="C55" s="1">
        <v>49</v>
      </c>
      <c r="D55" s="15">
        <f t="shared" si="37"/>
        <v>4.87</v>
      </c>
      <c r="E55" s="14">
        <f>'Schedule 2'!$H$14</f>
        <v>6.25</v>
      </c>
      <c r="F55" s="14">
        <v>0</v>
      </c>
      <c r="G55" s="254">
        <f t="shared" si="38"/>
        <v>11.120000000000001</v>
      </c>
      <c r="H55" s="262">
        <f t="shared" si="39"/>
        <v>133.44</v>
      </c>
      <c r="I55" s="171">
        <f>+'2005 Stlgt Rates'!I39</f>
        <v>8.08</v>
      </c>
      <c r="J55" s="172">
        <f t="shared" si="40"/>
        <v>0.37623762376237635</v>
      </c>
      <c r="K55" s="20">
        <f>+'Schedule 1'!D30</f>
        <v>1</v>
      </c>
      <c r="L55" s="174">
        <f t="shared" si="41"/>
        <v>36</v>
      </c>
      <c r="N55" s="174">
        <f t="shared" si="42"/>
        <v>58.44</v>
      </c>
      <c r="O55" s="174">
        <f t="shared" si="43"/>
        <v>75</v>
      </c>
      <c r="P55" s="174">
        <f t="shared" si="44"/>
        <v>0</v>
      </c>
      <c r="Q55" s="174">
        <f t="shared" si="45"/>
        <v>133.44</v>
      </c>
    </row>
    <row r="56" spans="1:17">
      <c r="A56" s="8" t="s">
        <v>21</v>
      </c>
      <c r="B56" s="18">
        <v>218</v>
      </c>
      <c r="C56" s="1">
        <v>85</v>
      </c>
      <c r="D56" s="15">
        <f t="shared" si="37"/>
        <v>8.44</v>
      </c>
      <c r="E56" s="14">
        <f>'Schedule 2'!$H$14</f>
        <v>6.25</v>
      </c>
      <c r="F56" s="14">
        <v>0</v>
      </c>
      <c r="G56" s="254">
        <f t="shared" si="38"/>
        <v>14.69</v>
      </c>
      <c r="H56" s="262">
        <f t="shared" si="39"/>
        <v>0</v>
      </c>
      <c r="I56" s="171">
        <f>+'2005 Stlgt Rates'!I41</f>
        <v>12.75</v>
      </c>
      <c r="J56" s="172">
        <f t="shared" si="40"/>
        <v>0.15215686274509799</v>
      </c>
      <c r="K56" s="20">
        <f>+'Schedule 1'!D31</f>
        <v>0</v>
      </c>
      <c r="L56" s="174">
        <f t="shared" si="41"/>
        <v>0</v>
      </c>
      <c r="N56" s="174">
        <f t="shared" si="42"/>
        <v>0</v>
      </c>
      <c r="O56" s="174">
        <f t="shared" si="43"/>
        <v>0</v>
      </c>
      <c r="P56" s="174">
        <f t="shared" si="44"/>
        <v>0</v>
      </c>
      <c r="Q56" s="174">
        <f t="shared" si="45"/>
        <v>0</v>
      </c>
    </row>
    <row r="57" spans="1:17">
      <c r="A57" s="8"/>
      <c r="B57" s="18"/>
      <c r="D57" s="15"/>
      <c r="E57" s="14"/>
      <c r="F57" s="14"/>
      <c r="G57" s="254"/>
      <c r="H57" s="262"/>
      <c r="I57" s="171"/>
      <c r="J57" s="172"/>
      <c r="K57" s="20"/>
      <c r="N57" s="174"/>
      <c r="O57" s="174"/>
      <c r="P57" s="174"/>
      <c r="Q57" s="174"/>
    </row>
    <row r="58" spans="1:17" ht="15.75">
      <c r="A58" s="236" t="s">
        <v>110</v>
      </c>
      <c r="B58" s="278">
        <v>330</v>
      </c>
      <c r="C58" s="236">
        <v>47</v>
      </c>
      <c r="D58" s="238">
        <f>ROUND(+C58*I$149,2)</f>
        <v>4.67</v>
      </c>
      <c r="E58" s="239">
        <v>0</v>
      </c>
      <c r="F58" s="239">
        <v>0</v>
      </c>
      <c r="G58" s="270">
        <f>SUM(D58:F58)</f>
        <v>4.67</v>
      </c>
      <c r="H58" s="271">
        <f>G58*K58*12</f>
        <v>112.08</v>
      </c>
      <c r="I58" s="240">
        <f>+'2005 Stlgt Rates'!I134</f>
        <v>4.6500000000000004</v>
      </c>
      <c r="J58" s="241">
        <f>+G58/I58-1</f>
        <v>4.3010752688170673E-3</v>
      </c>
      <c r="K58" s="267">
        <f>+'Schedule 1'!E32</f>
        <v>2</v>
      </c>
      <c r="L58" s="268">
        <f>ROUND((G58-I58)*K58*12,0)</f>
        <v>0</v>
      </c>
      <c r="N58" s="243">
        <f t="shared" si="42"/>
        <v>112.08</v>
      </c>
      <c r="O58" s="243">
        <f t="shared" si="43"/>
        <v>0</v>
      </c>
      <c r="P58" s="243">
        <f t="shared" si="44"/>
        <v>0</v>
      </c>
      <c r="Q58" s="243">
        <f t="shared" si="45"/>
        <v>112.08</v>
      </c>
    </row>
    <row r="59" spans="1:17">
      <c r="A59" s="8"/>
      <c r="B59" s="18"/>
      <c r="D59" s="15"/>
      <c r="E59" s="14"/>
      <c r="F59" s="14"/>
      <c r="G59" s="254"/>
      <c r="H59" s="262">
        <f>SUM(H51:H58)</f>
        <v>4092.12</v>
      </c>
      <c r="I59" s="171"/>
      <c r="J59" s="172"/>
      <c r="K59" s="20">
        <f>SUM(K51:K58)</f>
        <v>32</v>
      </c>
      <c r="L59" s="174">
        <f>SUM(L51:L58)</f>
        <v>1102</v>
      </c>
    </row>
    <row r="60" spans="1:17">
      <c r="B60" s="18"/>
      <c r="E60" s="14"/>
      <c r="F60" s="14"/>
      <c r="G60" s="254"/>
      <c r="H60" s="262"/>
      <c r="K60" s="20"/>
    </row>
    <row r="61" spans="1:17" ht="15.75">
      <c r="A61" s="4" t="s">
        <v>77</v>
      </c>
      <c r="B61" s="12"/>
      <c r="E61" s="14"/>
      <c r="F61" s="14"/>
      <c r="G61" s="254"/>
      <c r="H61" s="262"/>
    </row>
    <row r="62" spans="1:17" ht="15.75">
      <c r="A62" s="4" t="s">
        <v>78</v>
      </c>
      <c r="B62" s="12"/>
      <c r="E62" s="14"/>
      <c r="F62" s="14"/>
      <c r="G62" s="254"/>
      <c r="H62" s="262"/>
    </row>
    <row r="63" spans="1:17">
      <c r="B63" s="18"/>
      <c r="E63" s="14"/>
      <c r="F63" s="14"/>
      <c r="G63" s="254"/>
      <c r="H63" s="262"/>
    </row>
    <row r="64" spans="1:17">
      <c r="A64" s="8" t="s">
        <v>637</v>
      </c>
      <c r="B64" s="18">
        <v>118</v>
      </c>
      <c r="C64" s="1">
        <v>66</v>
      </c>
      <c r="D64" s="15">
        <f>C64*I$158</f>
        <v>4.38042</v>
      </c>
      <c r="E64" s="14">
        <v>0</v>
      </c>
      <c r="F64" s="14">
        <v>0</v>
      </c>
      <c r="G64" s="254">
        <f>SUM(D64:F64)</f>
        <v>4.38042</v>
      </c>
      <c r="H64" s="262">
        <f>G64*K64*12</f>
        <v>893.60568000000001</v>
      </c>
      <c r="I64" s="171">
        <f>+'2005 Stlgt Rates'!I58</f>
        <v>6.41</v>
      </c>
      <c r="J64" s="172">
        <f>+G64/I64-1</f>
        <v>-0.31662714508580347</v>
      </c>
      <c r="K64" s="20">
        <f>+'Schedule 1'!E37</f>
        <v>17</v>
      </c>
      <c r="L64" s="174">
        <f>ROUND((G64-I64)*K64*12,0)</f>
        <v>-414</v>
      </c>
      <c r="N64" s="174">
        <f>$D64*$K64*12</f>
        <v>893.60568000000001</v>
      </c>
      <c r="O64" s="174">
        <f>$E64*$K64*12</f>
        <v>0</v>
      </c>
      <c r="P64" s="174">
        <f>$F64*$K64*12</f>
        <v>0</v>
      </c>
      <c r="Q64" s="174">
        <f>SUM(N64:P64)</f>
        <v>893.60568000000001</v>
      </c>
    </row>
    <row r="65" spans="1:17">
      <c r="A65" s="8" t="s">
        <v>638</v>
      </c>
      <c r="B65" s="18">
        <v>119</v>
      </c>
      <c r="C65" s="1">
        <v>364</v>
      </c>
      <c r="D65" s="15">
        <f>C65*I$158</f>
        <v>24.15868</v>
      </c>
      <c r="E65" s="14">
        <v>0</v>
      </c>
      <c r="F65" s="14">
        <v>0</v>
      </c>
      <c r="G65" s="254">
        <f>SUM(D65:F65)</f>
        <v>24.15868</v>
      </c>
      <c r="H65" s="262">
        <f>G65*K65*12</f>
        <v>6087.9873600000001</v>
      </c>
      <c r="I65" s="171">
        <f>+'2005 Stlgt Rates'!I59</f>
        <v>35.26</v>
      </c>
      <c r="J65" s="172">
        <f>+G65/I65-1</f>
        <v>-0.31484174702212131</v>
      </c>
      <c r="K65" s="20">
        <f>+'Schedule 1'!E38</f>
        <v>21</v>
      </c>
      <c r="L65" s="174">
        <f>ROUND((G65-I65)*K65*12,0)</f>
        <v>-2798</v>
      </c>
      <c r="N65" s="174">
        <f>$D65*$K65*12</f>
        <v>6087.9873600000001</v>
      </c>
      <c r="O65" s="174">
        <f>$E65*$K65*12</f>
        <v>0</v>
      </c>
      <c r="P65" s="174">
        <f>$F65*$K65*12</f>
        <v>0</v>
      </c>
      <c r="Q65" s="174">
        <f>SUM(N65:P65)</f>
        <v>6087.9873600000001</v>
      </c>
    </row>
    <row r="66" spans="1:17">
      <c r="A66" s="8" t="s">
        <v>639</v>
      </c>
      <c r="B66" s="18">
        <v>117</v>
      </c>
      <c r="C66" s="1">
        <v>486</v>
      </c>
      <c r="D66" s="15">
        <f>C66*I$158</f>
        <v>32.25582</v>
      </c>
      <c r="E66" s="14">
        <v>0</v>
      </c>
      <c r="F66" s="14">
        <v>0</v>
      </c>
      <c r="G66" s="254">
        <f>SUM(D66:F66)</f>
        <v>32.25582</v>
      </c>
      <c r="H66" s="262">
        <f>G66*K66*12</f>
        <v>774.13968</v>
      </c>
      <c r="I66" s="171">
        <f>+'2005 Stlgt Rates'!I60</f>
        <v>47.08</v>
      </c>
      <c r="J66" s="172">
        <f>+G66/I66-1</f>
        <v>-0.31487213254035684</v>
      </c>
      <c r="K66" s="20">
        <f>+'Schedule 1'!E36</f>
        <v>2</v>
      </c>
      <c r="L66" s="174">
        <f>ROUND((G66-I66)*K66*12,0)</f>
        <v>-356</v>
      </c>
      <c r="N66" s="174">
        <f>$D66*$K66*12</f>
        <v>774.13968</v>
      </c>
      <c r="O66" s="174">
        <f>$E66*$K66*12</f>
        <v>0</v>
      </c>
      <c r="P66" s="174">
        <f>$F66*$K66*12</f>
        <v>0</v>
      </c>
      <c r="Q66" s="174">
        <f>SUM(N66:P66)</f>
        <v>774.13968</v>
      </c>
    </row>
    <row r="67" spans="1:17">
      <c r="A67" s="8" t="s">
        <v>640</v>
      </c>
      <c r="B67" s="18">
        <v>120</v>
      </c>
      <c r="C67" s="1">
        <v>254</v>
      </c>
      <c r="D67" s="15">
        <f>C67*I$158</f>
        <v>16.857980000000001</v>
      </c>
      <c r="E67" s="14">
        <v>0</v>
      </c>
      <c r="F67" s="14">
        <v>0</v>
      </c>
      <c r="G67" s="254">
        <f>SUM(D67:F67)</f>
        <v>16.857980000000001</v>
      </c>
      <c r="H67" s="262">
        <f>G67*K67*12</f>
        <v>5866.5770400000001</v>
      </c>
      <c r="I67" s="171">
        <f>+'2005 Stlgt Rates'!I61</f>
        <v>24.61</v>
      </c>
      <c r="J67" s="172">
        <f>+G67/I67-1</f>
        <v>-0.31499471759447373</v>
      </c>
      <c r="K67" s="20">
        <f>+'Schedule 1'!E39</f>
        <v>29</v>
      </c>
      <c r="L67" s="174">
        <f>ROUND((G67-I67)*K67*12,0)</f>
        <v>-2698</v>
      </c>
      <c r="N67" s="174">
        <f>$D67*$K67*12</f>
        <v>5866.5770400000001</v>
      </c>
      <c r="O67" s="174">
        <f>$E67*$K67*12</f>
        <v>0</v>
      </c>
      <c r="P67" s="174">
        <f>$F67*$K67*12</f>
        <v>0</v>
      </c>
      <c r="Q67" s="174">
        <f>SUM(N67:P67)</f>
        <v>5866.5770400000001</v>
      </c>
    </row>
    <row r="68" spans="1:17">
      <c r="A68" s="8" t="s">
        <v>111</v>
      </c>
      <c r="B68" s="18">
        <v>150</v>
      </c>
      <c r="C68" s="1">
        <v>613</v>
      </c>
      <c r="D68" s="15">
        <f>C68*I$158</f>
        <v>40.684809999999999</v>
      </c>
      <c r="E68" s="14">
        <v>0</v>
      </c>
      <c r="F68" s="14">
        <v>0</v>
      </c>
      <c r="G68" s="254">
        <f>SUM(D68:F68)</f>
        <v>40.684809999999999</v>
      </c>
      <c r="H68" s="265">
        <f>G68*K68*12</f>
        <v>11229.00756</v>
      </c>
      <c r="I68" s="171">
        <f>+'2005 Stlgt Rates'!I62</f>
        <v>59.39</v>
      </c>
      <c r="J68" s="172">
        <f>+G68/I68-1</f>
        <v>-0.31495521131503623</v>
      </c>
      <c r="K68" s="10">
        <f>+'Schedule 1'!E40</f>
        <v>23</v>
      </c>
      <c r="L68" s="199">
        <f>ROUND((G68-I68)*K68*12,0)</f>
        <v>-5163</v>
      </c>
      <c r="N68" s="174">
        <f>$D68*$K68*12</f>
        <v>11229.00756</v>
      </c>
      <c r="O68" s="174">
        <f>$E68*$K68*12</f>
        <v>0</v>
      </c>
      <c r="P68" s="174">
        <f>$F68*$K68*12</f>
        <v>0</v>
      </c>
      <c r="Q68" s="174">
        <f>SUM(N68:P68)</f>
        <v>11229.00756</v>
      </c>
    </row>
    <row r="69" spans="1:17">
      <c r="B69" s="18"/>
      <c r="D69" s="15"/>
      <c r="E69" s="14"/>
      <c r="F69" s="14"/>
      <c r="G69" s="254"/>
      <c r="H69" s="262">
        <f>SUM(H64:H68)</f>
        <v>24851.317320000002</v>
      </c>
      <c r="K69" s="20">
        <f>SUM(K64:K68)</f>
        <v>92</v>
      </c>
      <c r="L69" s="174">
        <f>SUM(L64:L68)</f>
        <v>-11429</v>
      </c>
    </row>
    <row r="70" spans="1:17" ht="15.75">
      <c r="A70" s="4" t="s">
        <v>643</v>
      </c>
      <c r="B70" s="12"/>
      <c r="D70" s="15"/>
      <c r="E70" s="14"/>
      <c r="F70" s="14"/>
      <c r="G70" s="254"/>
      <c r="H70" s="262"/>
    </row>
    <row r="71" spans="1:17" ht="15.75">
      <c r="A71" s="4" t="s">
        <v>78</v>
      </c>
      <c r="B71" s="12"/>
      <c r="D71" s="15"/>
      <c r="E71" s="14"/>
      <c r="F71" s="14"/>
      <c r="G71" s="254"/>
      <c r="H71" s="262"/>
    </row>
    <row r="72" spans="1:17">
      <c r="B72" s="18"/>
      <c r="D72" s="15"/>
      <c r="E72" s="14"/>
      <c r="F72" s="14"/>
      <c r="G72" s="254"/>
      <c r="H72" s="262"/>
    </row>
    <row r="73" spans="1:17">
      <c r="A73" s="8" t="s">
        <v>637</v>
      </c>
      <c r="B73" s="18">
        <v>310</v>
      </c>
      <c r="C73" s="1">
        <v>30</v>
      </c>
      <c r="D73" s="15">
        <f t="shared" ref="D73:D79" si="46">ROUND(+C73*I$149,2)</f>
        <v>2.98</v>
      </c>
      <c r="E73" s="14">
        <v>0</v>
      </c>
      <c r="F73" s="14">
        <v>0</v>
      </c>
      <c r="G73" s="254">
        <f t="shared" ref="G73:G79" si="47">SUM(D73:F73)</f>
        <v>2.98</v>
      </c>
      <c r="H73" s="262">
        <f t="shared" ref="H73:H79" si="48">G73*K73*12</f>
        <v>35.76</v>
      </c>
      <c r="I73" s="171">
        <f>+'2005 Stlgt Rates'!I68</f>
        <v>3.91</v>
      </c>
      <c r="J73" s="172">
        <f t="shared" ref="J73:J79" si="49">+G73/I73-1</f>
        <v>-0.23785166240409206</v>
      </c>
      <c r="K73" s="20">
        <f>+'Schedule 1'!E43</f>
        <v>1</v>
      </c>
      <c r="L73" s="174">
        <f t="shared" ref="L73:L79" si="50">ROUND((G73-I73)*K73*12,0)</f>
        <v>-11</v>
      </c>
      <c r="N73" s="174">
        <f t="shared" ref="N73:N79" si="51">$D73*$K73*12</f>
        <v>35.76</v>
      </c>
      <c r="O73" s="174">
        <f t="shared" ref="O73:O79" si="52">$E73*$K73*12</f>
        <v>0</v>
      </c>
      <c r="P73" s="174">
        <f t="shared" ref="P73:P79" si="53">$F73*$K73*12</f>
        <v>0</v>
      </c>
      <c r="Q73" s="174">
        <f t="shared" ref="Q73:Q79" si="54">SUM(N73:P73)</f>
        <v>35.76</v>
      </c>
    </row>
    <row r="74" spans="1:17">
      <c r="A74" s="8" t="s">
        <v>638</v>
      </c>
      <c r="B74" s="18">
        <v>311</v>
      </c>
      <c r="C74" s="1">
        <v>166</v>
      </c>
      <c r="D74" s="15">
        <f t="shared" si="46"/>
        <v>16.48</v>
      </c>
      <c r="E74" s="14">
        <v>0</v>
      </c>
      <c r="F74" s="14">
        <v>0</v>
      </c>
      <c r="G74" s="254">
        <f t="shared" si="47"/>
        <v>16.48</v>
      </c>
      <c r="H74" s="262">
        <f t="shared" si="48"/>
        <v>988.80000000000007</v>
      </c>
      <c r="I74" s="171">
        <f>+'2005 Stlgt Rates'!I69</f>
        <v>21.59</v>
      </c>
      <c r="J74" s="172">
        <f t="shared" si="49"/>
        <v>-0.23668364983788792</v>
      </c>
      <c r="K74" s="20">
        <f>+'Schedule 1'!E44</f>
        <v>5</v>
      </c>
      <c r="L74" s="174">
        <f t="shared" si="50"/>
        <v>-307</v>
      </c>
      <c r="N74" s="174">
        <f t="shared" si="51"/>
        <v>988.80000000000007</v>
      </c>
      <c r="O74" s="174">
        <f t="shared" si="52"/>
        <v>0</v>
      </c>
      <c r="P74" s="174">
        <f t="shared" si="53"/>
        <v>0</v>
      </c>
      <c r="Q74" s="174">
        <f t="shared" si="54"/>
        <v>988.80000000000007</v>
      </c>
    </row>
    <row r="75" spans="1:17">
      <c r="A75" s="8" t="s">
        <v>639</v>
      </c>
      <c r="B75" s="18">
        <v>313</v>
      </c>
      <c r="C75" s="1">
        <v>222</v>
      </c>
      <c r="D75" s="15">
        <f t="shared" si="46"/>
        <v>22.04</v>
      </c>
      <c r="E75" s="14">
        <v>0</v>
      </c>
      <c r="F75" s="14">
        <v>0</v>
      </c>
      <c r="G75" s="254">
        <f t="shared" si="47"/>
        <v>22.04</v>
      </c>
      <c r="H75" s="262">
        <f t="shared" si="48"/>
        <v>0</v>
      </c>
      <c r="I75" s="171">
        <f>+'2005 Stlgt Rates'!I70</f>
        <v>28.84</v>
      </c>
      <c r="J75" s="172">
        <f t="shared" si="49"/>
        <v>-0.23578363384188628</v>
      </c>
      <c r="K75" s="20">
        <f>+'Schedule 1'!E46</f>
        <v>0</v>
      </c>
      <c r="L75" s="174">
        <f t="shared" si="50"/>
        <v>0</v>
      </c>
      <c r="N75" s="174">
        <f t="shared" si="51"/>
        <v>0</v>
      </c>
      <c r="O75" s="174">
        <f t="shared" si="52"/>
        <v>0</v>
      </c>
      <c r="P75" s="174">
        <f t="shared" si="53"/>
        <v>0</v>
      </c>
      <c r="Q75" s="174">
        <f t="shared" si="54"/>
        <v>0</v>
      </c>
    </row>
    <row r="76" spans="1:17">
      <c r="A76" s="8" t="s">
        <v>79</v>
      </c>
      <c r="B76" s="18">
        <v>312</v>
      </c>
      <c r="C76" s="1">
        <v>116</v>
      </c>
      <c r="D76" s="15">
        <f t="shared" si="46"/>
        <v>11.52</v>
      </c>
      <c r="E76" s="14">
        <v>0</v>
      </c>
      <c r="F76" s="14">
        <v>0</v>
      </c>
      <c r="G76" s="254">
        <f t="shared" si="47"/>
        <v>11.52</v>
      </c>
      <c r="H76" s="262">
        <f t="shared" si="48"/>
        <v>276.48</v>
      </c>
      <c r="I76" s="171">
        <f>+'2005 Stlgt Rates'!I71</f>
        <v>15.08</v>
      </c>
      <c r="J76" s="172">
        <f t="shared" si="49"/>
        <v>-0.23607427055702923</v>
      </c>
      <c r="K76" s="20">
        <f>+'Schedule 1'!E45</f>
        <v>2</v>
      </c>
      <c r="L76" s="174">
        <f t="shared" si="50"/>
        <v>-85</v>
      </c>
      <c r="N76" s="174">
        <f t="shared" si="51"/>
        <v>276.48</v>
      </c>
      <c r="O76" s="174">
        <f t="shared" si="52"/>
        <v>0</v>
      </c>
      <c r="P76" s="174">
        <f t="shared" si="53"/>
        <v>0</v>
      </c>
      <c r="Q76" s="174">
        <f t="shared" si="54"/>
        <v>276.48</v>
      </c>
    </row>
    <row r="77" spans="1:17" ht="15.75">
      <c r="A77" s="236" t="s">
        <v>645</v>
      </c>
      <c r="B77" s="237">
        <v>314</v>
      </c>
      <c r="C77" s="236">
        <v>47</v>
      </c>
      <c r="D77" s="238">
        <f t="shared" si="46"/>
        <v>4.67</v>
      </c>
      <c r="E77" s="239">
        <v>0</v>
      </c>
      <c r="F77" s="239">
        <v>0</v>
      </c>
      <c r="G77" s="256">
        <f t="shared" si="47"/>
        <v>4.67</v>
      </c>
      <c r="H77" s="277">
        <f t="shared" si="48"/>
        <v>1401</v>
      </c>
      <c r="I77" s="240">
        <f>+'2005 Stlgt Rates'!F140</f>
        <v>4.67</v>
      </c>
      <c r="J77" s="241">
        <f t="shared" si="49"/>
        <v>0</v>
      </c>
      <c r="K77" s="242">
        <f>+'Schedule 1'!E47</f>
        <v>25</v>
      </c>
      <c r="L77" s="243">
        <f t="shared" si="50"/>
        <v>0</v>
      </c>
      <c r="N77" s="243">
        <f t="shared" si="51"/>
        <v>1401</v>
      </c>
      <c r="O77" s="243">
        <f t="shared" si="52"/>
        <v>0</v>
      </c>
      <c r="P77" s="243">
        <f t="shared" si="53"/>
        <v>0</v>
      </c>
      <c r="Q77" s="243">
        <f t="shared" si="54"/>
        <v>1401</v>
      </c>
    </row>
    <row r="78" spans="1:17" ht="15.75">
      <c r="A78" s="236" t="s">
        <v>646</v>
      </c>
      <c r="B78" s="237">
        <v>315</v>
      </c>
      <c r="C78" s="236">
        <v>60</v>
      </c>
      <c r="D78" s="238">
        <f t="shared" si="46"/>
        <v>5.96</v>
      </c>
      <c r="E78" s="239">
        <v>0</v>
      </c>
      <c r="F78" s="239">
        <v>0</v>
      </c>
      <c r="G78" s="256">
        <f t="shared" si="47"/>
        <v>5.96</v>
      </c>
      <c r="H78" s="277">
        <f t="shared" si="48"/>
        <v>0</v>
      </c>
      <c r="I78" s="240">
        <f>+'2005 Stlgt Rates'!F141</f>
        <v>5.96</v>
      </c>
      <c r="J78" s="241">
        <f t="shared" si="49"/>
        <v>0</v>
      </c>
      <c r="K78" s="242">
        <f>+'Schedule 1'!E48</f>
        <v>0</v>
      </c>
      <c r="L78" s="243">
        <f t="shared" si="50"/>
        <v>0</v>
      </c>
      <c r="N78" s="243">
        <f t="shared" si="51"/>
        <v>0</v>
      </c>
      <c r="O78" s="243">
        <f t="shared" si="52"/>
        <v>0</v>
      </c>
      <c r="P78" s="243">
        <f t="shared" si="53"/>
        <v>0</v>
      </c>
      <c r="Q78" s="243">
        <f t="shared" si="54"/>
        <v>0</v>
      </c>
    </row>
    <row r="79" spans="1:17">
      <c r="A79" s="8" t="s">
        <v>111</v>
      </c>
      <c r="B79" s="18">
        <v>350</v>
      </c>
      <c r="C79" s="1">
        <v>280</v>
      </c>
      <c r="D79" s="15">
        <f t="shared" si="46"/>
        <v>27.8</v>
      </c>
      <c r="E79" s="14">
        <v>0</v>
      </c>
      <c r="F79" s="14">
        <v>0</v>
      </c>
      <c r="G79" s="254">
        <f t="shared" si="47"/>
        <v>27.8</v>
      </c>
      <c r="H79" s="265">
        <f t="shared" si="48"/>
        <v>26020.800000000003</v>
      </c>
      <c r="I79" s="171">
        <f>+'2005 Stlgt Rates'!I72</f>
        <v>36.369999999999997</v>
      </c>
      <c r="J79" s="172">
        <f t="shared" si="49"/>
        <v>-0.235633764091284</v>
      </c>
      <c r="K79" s="10">
        <f>+'Schedule 1'!E33</f>
        <v>78</v>
      </c>
      <c r="L79" s="199">
        <f t="shared" si="50"/>
        <v>-8022</v>
      </c>
      <c r="N79" s="174">
        <f t="shared" si="51"/>
        <v>26020.800000000003</v>
      </c>
      <c r="O79" s="174">
        <f t="shared" si="52"/>
        <v>0</v>
      </c>
      <c r="P79" s="174">
        <f t="shared" si="53"/>
        <v>0</v>
      </c>
      <c r="Q79" s="174">
        <f t="shared" si="54"/>
        <v>26020.800000000003</v>
      </c>
    </row>
    <row r="80" spans="1:17">
      <c r="B80" s="18"/>
      <c r="D80" s="15"/>
      <c r="E80" s="14"/>
      <c r="F80" s="14"/>
      <c r="G80" s="254"/>
      <c r="H80" s="262">
        <f>SUM(H73:H79)</f>
        <v>28722.840000000004</v>
      </c>
      <c r="K80" s="20">
        <f>SUM(K73:K79)</f>
        <v>111</v>
      </c>
      <c r="L80" s="174">
        <f>SUM(L73:L79)</f>
        <v>-8425</v>
      </c>
    </row>
    <row r="81" spans="1:17" ht="15.75">
      <c r="A81" s="4" t="s">
        <v>80</v>
      </c>
      <c r="B81" s="12"/>
      <c r="E81" s="14"/>
      <c r="F81" s="14"/>
      <c r="G81" s="254"/>
      <c r="H81" s="262"/>
    </row>
    <row r="82" spans="1:17" ht="15.75">
      <c r="A82" s="4"/>
      <c r="B82" s="12"/>
      <c r="E82" s="14"/>
      <c r="F82" s="14"/>
      <c r="G82" s="254"/>
      <c r="H82" s="262"/>
    </row>
    <row r="83" spans="1:17">
      <c r="A83" s="8" t="s">
        <v>89</v>
      </c>
      <c r="B83" s="18">
        <v>132</v>
      </c>
      <c r="C83" s="1">
        <v>45</v>
      </c>
      <c r="D83" s="15">
        <f>ROUND(+C83*I$149,2)</f>
        <v>4.47</v>
      </c>
      <c r="E83" s="14">
        <f>'Schedule 2'!$H$20</f>
        <v>9.3800000000000008</v>
      </c>
      <c r="F83" s="14">
        <f>'Schedule 4'!$H37</f>
        <v>10.34954934015407</v>
      </c>
      <c r="G83" s="254">
        <f>SUM(D83:F83)</f>
        <v>24.199549340154071</v>
      </c>
      <c r="H83" s="262">
        <f>G83*K83*12</f>
        <v>580.78918416369766</v>
      </c>
      <c r="I83" s="171">
        <f>+'2005 Stlgt Rates'!I78</f>
        <v>13.08</v>
      </c>
      <c r="J83" s="172">
        <f>+G83/I83-1</f>
        <v>0.85011845108211559</v>
      </c>
      <c r="K83" s="20">
        <f>+'Schedule 1'!C62</f>
        <v>2</v>
      </c>
      <c r="L83" s="174">
        <f>ROUND((G83-I83)*K83*12,0)</f>
        <v>267</v>
      </c>
      <c r="N83" s="174">
        <f>$D83*$K83*12</f>
        <v>107.28</v>
      </c>
      <c r="O83" s="174">
        <f>$E83*$K83*12</f>
        <v>225.12</v>
      </c>
      <c r="P83" s="174">
        <f>$F83*$K83*12</f>
        <v>248.38918416369768</v>
      </c>
      <c r="Q83" s="174">
        <f>SUM(N83:P83)</f>
        <v>580.78918416369766</v>
      </c>
    </row>
    <row r="84" spans="1:17">
      <c r="A84" s="8" t="s">
        <v>29</v>
      </c>
      <c r="B84" s="18">
        <v>130</v>
      </c>
      <c r="C84" s="1">
        <v>60</v>
      </c>
      <c r="D84" s="15">
        <f>ROUND(+C84*I$149,2)</f>
        <v>5.96</v>
      </c>
      <c r="E84" s="14">
        <f>'Schedule 2'!$H$20</f>
        <v>9.3800000000000008</v>
      </c>
      <c r="F84" s="14">
        <f>'Schedule 4'!$H38</f>
        <v>10.34954934015407</v>
      </c>
      <c r="G84" s="254">
        <f>SUM(D84:F84)</f>
        <v>25.68954934015407</v>
      </c>
      <c r="H84" s="262">
        <f>G84*K84*12</f>
        <v>18804.750116992778</v>
      </c>
      <c r="I84" s="171">
        <f>+'2005 Stlgt Rates'!I79</f>
        <v>15.05</v>
      </c>
      <c r="J84" s="172">
        <f>+G84/I84-1</f>
        <v>0.70694680001023702</v>
      </c>
      <c r="K84" s="20">
        <f>+'Schedule 1'!C60</f>
        <v>61</v>
      </c>
      <c r="L84" s="174">
        <f>ROUND((G84-I84)*K84*12,0)</f>
        <v>7788</v>
      </c>
      <c r="N84" s="174">
        <f>$D84*$K84*12</f>
        <v>4362.72</v>
      </c>
      <c r="O84" s="174">
        <f>$E84*$K84*12</f>
        <v>6866.1600000000008</v>
      </c>
      <c r="P84" s="174">
        <f>$F84*$K84*12</f>
        <v>7575.870116992779</v>
      </c>
      <c r="Q84" s="174">
        <f>SUM(N84:P84)</f>
        <v>18804.750116992778</v>
      </c>
    </row>
    <row r="85" spans="1:17">
      <c r="A85" s="8" t="s">
        <v>30</v>
      </c>
      <c r="B85" s="18">
        <v>131</v>
      </c>
      <c r="C85" s="1">
        <v>80</v>
      </c>
      <c r="D85" s="15">
        <f>ROUND(+C85*I$149,2)</f>
        <v>7.94</v>
      </c>
      <c r="E85" s="14">
        <f>'Schedule 2'!$H$20</f>
        <v>9.3800000000000008</v>
      </c>
      <c r="F85" s="14">
        <f>'Schedule 4'!$H39</f>
        <v>11.845502673487402</v>
      </c>
      <c r="G85" s="254">
        <f>SUM(D85:F85)</f>
        <v>29.165502673487403</v>
      </c>
      <c r="H85" s="262">
        <f>G85*K85*12</f>
        <v>304487.84791120852</v>
      </c>
      <c r="I85" s="171">
        <f>+'2005 Stlgt Rates'!I80</f>
        <v>17.649999999999999</v>
      </c>
      <c r="J85" s="172">
        <f>+G85/I85-1</f>
        <v>0.65243641209560366</v>
      </c>
      <c r="K85" s="20">
        <f>+'Schedule 1'!C61</f>
        <v>870</v>
      </c>
      <c r="L85" s="174">
        <f>ROUND((G85-I85)*K85*12,0)</f>
        <v>120222</v>
      </c>
      <c r="N85" s="174">
        <f>$D85*$K85*12</f>
        <v>82893.600000000006</v>
      </c>
      <c r="O85" s="174">
        <f>$E85*$K85*12</f>
        <v>97927.200000000012</v>
      </c>
      <c r="P85" s="174">
        <f>$F85*$K85*12</f>
        <v>123667.04791120849</v>
      </c>
      <c r="Q85" s="174">
        <f>SUM(N85:P85)</f>
        <v>304487.84791120852</v>
      </c>
    </row>
    <row r="86" spans="1:17">
      <c r="A86" s="8"/>
      <c r="B86" s="18"/>
      <c r="D86" s="15"/>
      <c r="E86" s="14"/>
      <c r="F86" s="14"/>
      <c r="G86" s="254"/>
      <c r="H86" s="262"/>
      <c r="I86" s="171"/>
      <c r="J86" s="172"/>
      <c r="K86" s="20"/>
      <c r="L86" s="174"/>
    </row>
    <row r="87" spans="1:17">
      <c r="A87" s="8" t="s">
        <v>647</v>
      </c>
      <c r="B87" s="18">
        <v>231</v>
      </c>
      <c r="C87" s="1">
        <v>80</v>
      </c>
      <c r="D87" s="15">
        <f>ROUND(+C87*I$149,2)</f>
        <v>7.94</v>
      </c>
      <c r="E87" s="14">
        <f>'Schedule 2'!$H$20</f>
        <v>9.3800000000000008</v>
      </c>
      <c r="F87" s="14">
        <v>0</v>
      </c>
      <c r="G87" s="254">
        <f>SUM(D87:F87)</f>
        <v>17.32</v>
      </c>
      <c r="H87" s="262">
        <f>G87*K87*12</f>
        <v>8937.119999999999</v>
      </c>
      <c r="I87" s="171">
        <f>+'2005 Stlgt Rates'!I81</f>
        <v>12.55</v>
      </c>
      <c r="J87" s="172">
        <f>+G87/I87-1</f>
        <v>0.38007968127490033</v>
      </c>
      <c r="K87" s="20">
        <f>+'Schedule 1'!D61</f>
        <v>43</v>
      </c>
      <c r="L87" s="174">
        <f>ROUND((G87-I87)*K87*12,0)</f>
        <v>2461</v>
      </c>
      <c r="N87" s="174">
        <f>$D87*$K87*12</f>
        <v>4097.04</v>
      </c>
      <c r="O87" s="174">
        <f>$E87*$K87*12</f>
        <v>4840.08</v>
      </c>
      <c r="P87" s="174">
        <f>$F87*$K87*12</f>
        <v>0</v>
      </c>
      <c r="Q87" s="174">
        <f>SUM(N87:P87)</f>
        <v>8937.119999999999</v>
      </c>
    </row>
    <row r="88" spans="1:17">
      <c r="A88" s="8"/>
      <c r="B88" s="18"/>
      <c r="D88" s="15"/>
      <c r="E88" s="14"/>
      <c r="F88" s="14"/>
      <c r="G88" s="254"/>
      <c r="H88" s="262"/>
      <c r="I88" s="171"/>
      <c r="J88" s="172"/>
      <c r="K88" s="20"/>
      <c r="L88" s="174"/>
    </row>
    <row r="89" spans="1:17" ht="15.75">
      <c r="A89" s="176" t="s">
        <v>648</v>
      </c>
      <c r="B89" s="183">
        <v>331</v>
      </c>
      <c r="C89" s="176">
        <v>80</v>
      </c>
      <c r="D89" s="177">
        <f>ROUND(+C89*I$149,2)</f>
        <v>7.94</v>
      </c>
      <c r="E89" s="178">
        <v>0</v>
      </c>
      <c r="F89" s="178">
        <v>0</v>
      </c>
      <c r="G89" s="255">
        <f>SUM(D89:F89)</f>
        <v>7.94</v>
      </c>
      <c r="H89" s="263">
        <f>G89*K89*12</f>
        <v>3525.3600000000006</v>
      </c>
      <c r="I89" s="179">
        <f>+'2005 Stlgt Rates'!I147</f>
        <v>7.94</v>
      </c>
      <c r="J89" s="180">
        <f>+G89/I89-1</f>
        <v>0</v>
      </c>
      <c r="K89" s="184">
        <f>+'Schedule 1'!E61</f>
        <v>37</v>
      </c>
      <c r="L89" s="200">
        <f>ROUND((G89-I89)*K89*12,0)</f>
        <v>0</v>
      </c>
      <c r="N89" s="243">
        <f>$D89*$K89*12</f>
        <v>3525.3600000000006</v>
      </c>
      <c r="O89" s="243">
        <f>$E89*$K89*12</f>
        <v>0</v>
      </c>
      <c r="P89" s="243">
        <f>$F89*$K89*12</f>
        <v>0</v>
      </c>
      <c r="Q89" s="243">
        <f>SUM(N89:P89)</f>
        <v>3525.3600000000006</v>
      </c>
    </row>
    <row r="90" spans="1:17">
      <c r="B90" s="18"/>
      <c r="E90" s="14"/>
      <c r="F90" s="14"/>
      <c r="G90" s="254"/>
      <c r="H90" s="262">
        <f>SUM(H83:H89)</f>
        <v>336335.86721236497</v>
      </c>
      <c r="K90" s="20">
        <f>SUM(K83:K89)</f>
        <v>1013</v>
      </c>
      <c r="L90" s="174">
        <f>SUM(L83:L89)</f>
        <v>130738</v>
      </c>
    </row>
    <row r="91" spans="1:17" ht="15.75">
      <c r="A91" s="4" t="s">
        <v>641</v>
      </c>
      <c r="B91" s="12"/>
      <c r="E91" s="14"/>
      <c r="F91" s="14"/>
      <c r="G91" s="254"/>
      <c r="H91" s="262"/>
    </row>
    <row r="92" spans="1:17" ht="15.75">
      <c r="A92" s="4"/>
      <c r="B92" s="12"/>
      <c r="E92" s="14"/>
      <c r="F92" s="14"/>
      <c r="G92" s="254"/>
      <c r="H92" s="262"/>
    </row>
    <row r="93" spans="1:17">
      <c r="A93" s="8" t="s">
        <v>620</v>
      </c>
      <c r="B93" s="18">
        <v>123</v>
      </c>
      <c r="C93" s="1">
        <v>32</v>
      </c>
      <c r="D93" s="15">
        <f>ROUND(+C93*I$149,2)</f>
        <v>3.18</v>
      </c>
      <c r="E93" s="14">
        <f>'Schedule 2'!$H$15</f>
        <v>3.13</v>
      </c>
      <c r="F93" s="14">
        <f>'Schedule 4'!$H32</f>
        <v>4.8992567068207364</v>
      </c>
      <c r="G93" s="254">
        <f>SUM(D93:F93)</f>
        <v>11.209256706820737</v>
      </c>
      <c r="H93" s="262">
        <f>G93*K93*12</f>
        <v>5154599.1151449298</v>
      </c>
      <c r="I93" s="171">
        <f>+'2005 Stlgt Rates'!I87</f>
        <v>10.119999999999999</v>
      </c>
      <c r="J93" s="172">
        <f>+G93/I93-1</f>
        <v>0.10763406193880809</v>
      </c>
      <c r="K93" s="20">
        <f>+'Schedule 1'!C53</f>
        <v>38321</v>
      </c>
      <c r="L93" s="174">
        <f>ROUND((G93-I93)*K93*12,0)</f>
        <v>500897</v>
      </c>
      <c r="N93" s="174">
        <f>$D93*$K93*12</f>
        <v>1462329.36</v>
      </c>
      <c r="O93" s="174">
        <f>$E93*$K93*12</f>
        <v>1439336.76</v>
      </c>
      <c r="P93" s="174">
        <f>$F93*$K93*12</f>
        <v>2252932.9951449293</v>
      </c>
      <c r="Q93" s="174">
        <f>SUM(N93:P93)</f>
        <v>5154599.1151449289</v>
      </c>
    </row>
    <row r="94" spans="1:17">
      <c r="A94" s="8" t="s">
        <v>621</v>
      </c>
      <c r="B94" s="18">
        <v>124</v>
      </c>
      <c r="C94" s="1">
        <v>45</v>
      </c>
      <c r="D94" s="15">
        <f>ROUND(+C94*I$149,2)</f>
        <v>4.47</v>
      </c>
      <c r="E94" s="14">
        <f>'Schedule 2'!$H$15</f>
        <v>3.13</v>
      </c>
      <c r="F94" s="14">
        <f>'Schedule 4'!$H33</f>
        <v>4.7921360068207361</v>
      </c>
      <c r="G94" s="254">
        <f>SUM(D94:F94)</f>
        <v>12.392136006820735</v>
      </c>
      <c r="H94" s="262">
        <f>G94*K94*12</f>
        <v>6823952.7506039608</v>
      </c>
      <c r="I94" s="171">
        <f>+'2005 Stlgt Rates'!I89</f>
        <v>11.8</v>
      </c>
      <c r="J94" s="172">
        <f>+G94/I94-1</f>
        <v>5.0181017527180849E-2</v>
      </c>
      <c r="K94" s="20">
        <f>+'Schedule 1'!C54</f>
        <v>45889</v>
      </c>
      <c r="L94" s="174">
        <f>ROUND((G94-I94)*K94*12,0)</f>
        <v>326070</v>
      </c>
      <c r="N94" s="174">
        <f>$D94*$K94*12</f>
        <v>2461485.96</v>
      </c>
      <c r="O94" s="174">
        <f>$E94*$K94*12</f>
        <v>1723590.84</v>
      </c>
      <c r="P94" s="174">
        <f>$F94*$K94*12</f>
        <v>2638875.950603961</v>
      </c>
      <c r="Q94" s="174">
        <f>SUM(N94:P94)</f>
        <v>6823952.7506039608</v>
      </c>
    </row>
    <row r="95" spans="1:17">
      <c r="A95" s="8" t="s">
        <v>622</v>
      </c>
      <c r="B95" s="18">
        <v>125</v>
      </c>
      <c r="C95" s="1">
        <v>65</v>
      </c>
      <c r="D95" s="15">
        <f>ROUND(+C95*I$149,2)</f>
        <v>6.45</v>
      </c>
      <c r="E95" s="14">
        <f>'Schedule 2'!$H$15</f>
        <v>3.13</v>
      </c>
      <c r="F95" s="14">
        <f>'Schedule 4'!$H34</f>
        <v>4.8336826734874032</v>
      </c>
      <c r="G95" s="254">
        <f>SUM(D95:F95)</f>
        <v>14.413682673487404</v>
      </c>
      <c r="H95" s="262">
        <f>G95*K95*12</f>
        <v>906505.33070096991</v>
      </c>
      <c r="I95" s="171">
        <f>+'2005 Stlgt Rates'!I91</f>
        <v>14.41</v>
      </c>
      <c r="J95" s="172">
        <f>+G95/I95-1</f>
        <v>2.555637395837973E-4</v>
      </c>
      <c r="K95" s="20">
        <f>+'Schedule 1'!C55</f>
        <v>5241</v>
      </c>
      <c r="L95" s="174">
        <f>ROUND((G95-I95)*K95*12,0)</f>
        <v>232</v>
      </c>
      <c r="N95" s="174">
        <f>$D95*$K95*12</f>
        <v>405653.4</v>
      </c>
      <c r="O95" s="174">
        <f>$E95*$K95*12</f>
        <v>196851.95999999996</v>
      </c>
      <c r="P95" s="174">
        <f>$F95*$K95*12</f>
        <v>303999.97070096974</v>
      </c>
      <c r="Q95" s="174">
        <f>SUM(N95:P95)</f>
        <v>906505.33070096979</v>
      </c>
    </row>
    <row r="96" spans="1:17">
      <c r="A96" s="8" t="s">
        <v>618</v>
      </c>
      <c r="B96" s="18">
        <v>121</v>
      </c>
      <c r="C96" s="1">
        <v>100</v>
      </c>
      <c r="D96" s="15">
        <f>ROUND(+C96*I$149,2)</f>
        <v>9.93</v>
      </c>
      <c r="E96" s="14">
        <f>'Schedule 2'!$H$15</f>
        <v>3.13</v>
      </c>
      <c r="F96" s="14">
        <f>'Schedule 4'!$H35</f>
        <v>5.5285684401540687</v>
      </c>
      <c r="G96" s="254">
        <f>SUM(D96:F96)</f>
        <v>18.588568440154067</v>
      </c>
      <c r="H96" s="262">
        <f>G96*K96*12</f>
        <v>1172418.1886573974</v>
      </c>
      <c r="I96" s="171">
        <f>+'2005 Stlgt Rates'!I93</f>
        <v>18.95</v>
      </c>
      <c r="J96" s="172">
        <f>+G96/I96-1</f>
        <v>-1.907290553276686E-2</v>
      </c>
      <c r="K96" s="20">
        <f>+'Schedule 1'!C51</f>
        <v>5256</v>
      </c>
      <c r="L96" s="174">
        <f>ROUND((G96-I96)*K96*12,0)</f>
        <v>-22796</v>
      </c>
      <c r="N96" s="174">
        <f>$D96*$K96*12</f>
        <v>626304.96</v>
      </c>
      <c r="O96" s="174">
        <f>$E96*$K96*12</f>
        <v>197415.36</v>
      </c>
      <c r="P96" s="174">
        <f>$F96*$K96*12</f>
        <v>348697.8686573974</v>
      </c>
      <c r="Q96" s="174">
        <f>SUM(N96:P96)</f>
        <v>1172418.1886573974</v>
      </c>
    </row>
    <row r="97" spans="1:17">
      <c r="A97" s="8" t="s">
        <v>619</v>
      </c>
      <c r="B97" s="18">
        <v>122</v>
      </c>
      <c r="C97" s="1">
        <v>150</v>
      </c>
      <c r="D97" s="15">
        <f>ROUND(+C97*I$149,2)</f>
        <v>14.9</v>
      </c>
      <c r="E97" s="14">
        <f>'Schedule 2'!$H$15</f>
        <v>3.13</v>
      </c>
      <c r="F97" s="14">
        <f>'Schedule 4'!$H36</f>
        <v>5.7345251068207368</v>
      </c>
      <c r="G97" s="254">
        <f>SUM(D97:F97)</f>
        <v>23.764525106820738</v>
      </c>
      <c r="H97" s="262">
        <f>G97*K97*12</f>
        <v>1045734.1628005398</v>
      </c>
      <c r="I97" s="171">
        <f>+'2005 Stlgt Rates'!I95</f>
        <v>25.42</v>
      </c>
      <c r="J97" s="172">
        <f>+G97/I97-1</f>
        <v>-6.5124897450010377E-2</v>
      </c>
      <c r="K97" s="20">
        <f>+'Schedule 1'!C52</f>
        <v>3667</v>
      </c>
      <c r="L97" s="174">
        <f>ROUND((G97-I97)*K97*12,0)</f>
        <v>-72848</v>
      </c>
      <c r="N97" s="174">
        <f>$D97*$K97*12</f>
        <v>655659.60000000009</v>
      </c>
      <c r="O97" s="174">
        <f>$E97*$K97*12</f>
        <v>137732.51999999999</v>
      </c>
      <c r="P97" s="174">
        <f>$F97*$K97*12</f>
        <v>252342.0428005397</v>
      </c>
      <c r="Q97" s="174">
        <f>SUM(N97:P97)</f>
        <v>1045734.1628005398</v>
      </c>
    </row>
    <row r="98" spans="1:17">
      <c r="A98" s="8"/>
      <c r="B98" s="18"/>
      <c r="D98" s="15"/>
      <c r="E98" s="14"/>
      <c r="F98" s="14"/>
      <c r="G98" s="254"/>
      <c r="H98" s="262"/>
      <c r="I98" s="171"/>
      <c r="J98" s="172"/>
      <c r="K98" s="20"/>
      <c r="L98" s="174"/>
    </row>
    <row r="99" spans="1:17" ht="15.75">
      <c r="A99" s="191" t="s">
        <v>686</v>
      </c>
      <c r="B99" s="237">
        <v>452</v>
      </c>
      <c r="C99" s="191">
        <v>363</v>
      </c>
      <c r="D99" s="192">
        <f>ROUND(+C99*I$149,2)</f>
        <v>36.049999999999997</v>
      </c>
      <c r="E99" s="193">
        <f>'Schedule 2'!$H$15</f>
        <v>3.13</v>
      </c>
      <c r="F99" s="193">
        <v>16.48</v>
      </c>
      <c r="G99" s="256">
        <f>SUM(D99:F99)</f>
        <v>55.66</v>
      </c>
      <c r="H99" s="264">
        <f>G99*K99*12</f>
        <v>4675.4400000000005</v>
      </c>
      <c r="I99" s="194">
        <f>+'2005 Stlgt Rates'!I153</f>
        <v>56.43</v>
      </c>
      <c r="J99" s="195">
        <f>+G99/I99-1</f>
        <v>-1.3645224171540016E-2</v>
      </c>
      <c r="K99" s="196">
        <f>+'Schedule 1'!C57</f>
        <v>7</v>
      </c>
      <c r="L99" s="197">
        <f>ROUND((G99-I99)*K99*12,0)</f>
        <v>-65</v>
      </c>
      <c r="N99" s="243">
        <f>$D99*$K99*12</f>
        <v>3028.2</v>
      </c>
      <c r="O99" s="243">
        <f>$E99*$K99*12</f>
        <v>262.92</v>
      </c>
      <c r="P99" s="243">
        <f>$F99*$K99*12</f>
        <v>1384.32</v>
      </c>
      <c r="Q99" s="243">
        <f>SUM(N99:P99)</f>
        <v>4675.4399999999996</v>
      </c>
    </row>
    <row r="100" spans="1:17">
      <c r="A100" s="8"/>
      <c r="D100" s="15"/>
      <c r="E100" s="14"/>
      <c r="F100" s="14"/>
      <c r="G100" s="254"/>
      <c r="H100" s="262"/>
      <c r="I100" s="171"/>
      <c r="J100" s="172"/>
      <c r="K100" s="20"/>
      <c r="L100" s="174"/>
    </row>
    <row r="101" spans="1:17">
      <c r="A101" s="8" t="s">
        <v>620</v>
      </c>
      <c r="B101" s="18">
        <v>222</v>
      </c>
      <c r="C101" s="1">
        <v>32</v>
      </c>
      <c r="D101" s="15">
        <f>ROUND(+C101*I$149,2)</f>
        <v>3.18</v>
      </c>
      <c r="E101" s="14">
        <f>'Schedule 2'!$H$15</f>
        <v>3.13</v>
      </c>
      <c r="F101" s="14">
        <v>0</v>
      </c>
      <c r="G101" s="254">
        <f>SUM(D101:F101)</f>
        <v>6.3100000000000005</v>
      </c>
      <c r="H101" s="262">
        <f>G101*K101*12</f>
        <v>16961.28</v>
      </c>
      <c r="I101" s="171">
        <f>+'2005 Stlgt Rates'!I88</f>
        <v>5.0199999999999996</v>
      </c>
      <c r="J101" s="172">
        <f>+G101/I101-1</f>
        <v>0.25697211155378508</v>
      </c>
      <c r="K101" s="20">
        <f>+'Schedule 1'!D53</f>
        <v>224</v>
      </c>
      <c r="L101" s="174">
        <f>ROUND((G101-I101)*K101*12,0)</f>
        <v>3468</v>
      </c>
      <c r="N101" s="174">
        <f>$D101*$K101*12</f>
        <v>8547.84</v>
      </c>
      <c r="O101" s="174">
        <f>$E101*$K101*12</f>
        <v>8413.44</v>
      </c>
      <c r="P101" s="174">
        <f>$F101*$K101*12</f>
        <v>0</v>
      </c>
      <c r="Q101" s="174">
        <f>SUM(N101:P101)</f>
        <v>16961.28</v>
      </c>
    </row>
    <row r="102" spans="1:17">
      <c r="A102" s="8" t="s">
        <v>621</v>
      </c>
      <c r="B102" s="18">
        <v>223</v>
      </c>
      <c r="C102" s="1">
        <v>45</v>
      </c>
      <c r="D102" s="15">
        <f>ROUND(+C102*I$149,2)</f>
        <v>4.47</v>
      </c>
      <c r="E102" s="14">
        <f>'Schedule 2'!$H$15</f>
        <v>3.13</v>
      </c>
      <c r="F102" s="14">
        <v>0</v>
      </c>
      <c r="G102" s="254">
        <f>SUM(D102:F102)</f>
        <v>7.6</v>
      </c>
      <c r="H102" s="262">
        <f>G102*K102*12</f>
        <v>10032</v>
      </c>
      <c r="I102" s="171">
        <f>+'2005 Stlgt Rates'!I90</f>
        <v>6.7</v>
      </c>
      <c r="J102" s="172">
        <f>+G102/I102-1</f>
        <v>0.13432835820895517</v>
      </c>
      <c r="K102" s="20">
        <f>+'Schedule 1'!D54</f>
        <v>110</v>
      </c>
      <c r="L102" s="174">
        <f>ROUND((G102-I102)*K102*12,0)</f>
        <v>1188</v>
      </c>
      <c r="N102" s="174">
        <f>$D102*$K102*12</f>
        <v>5900.4</v>
      </c>
      <c r="O102" s="174">
        <f>$E102*$K102*12</f>
        <v>4131.6000000000004</v>
      </c>
      <c r="P102" s="174">
        <f>$F102*$K102*12</f>
        <v>0</v>
      </c>
      <c r="Q102" s="174">
        <f>SUM(N102:P102)</f>
        <v>10032</v>
      </c>
    </row>
    <row r="103" spans="1:17">
      <c r="A103" s="8" t="s">
        <v>622</v>
      </c>
      <c r="B103" s="18">
        <v>224</v>
      </c>
      <c r="C103" s="1">
        <v>65</v>
      </c>
      <c r="D103" s="15">
        <f>ROUND(+C103*I$149,2)</f>
        <v>6.45</v>
      </c>
      <c r="E103" s="14">
        <f>'Schedule 2'!$H$15</f>
        <v>3.13</v>
      </c>
      <c r="F103" s="14">
        <v>0</v>
      </c>
      <c r="G103" s="254">
        <f>SUM(D103:F103)</f>
        <v>9.58</v>
      </c>
      <c r="H103" s="262">
        <f>G103*K103*12</f>
        <v>26670.720000000001</v>
      </c>
      <c r="I103" s="171">
        <f>+'2005 Stlgt Rates'!I92</f>
        <v>9.3000000000000007</v>
      </c>
      <c r="J103" s="172">
        <f>+G103/I103-1</f>
        <v>3.0107526881720359E-2</v>
      </c>
      <c r="K103" s="20">
        <f>+'Schedule 1'!D55</f>
        <v>232</v>
      </c>
      <c r="L103" s="174">
        <f>ROUND((G103-I103)*K103*12,0)</f>
        <v>780</v>
      </c>
      <c r="N103" s="174">
        <f>$D103*$K103*12</f>
        <v>17956.800000000003</v>
      </c>
      <c r="O103" s="174">
        <f>$E103*$K103*12</f>
        <v>8713.92</v>
      </c>
      <c r="P103" s="174">
        <f>$F103*$K103*12</f>
        <v>0</v>
      </c>
      <c r="Q103" s="174">
        <f>SUM(N103:P103)</f>
        <v>26670.720000000001</v>
      </c>
    </row>
    <row r="104" spans="1:17">
      <c r="A104" s="8" t="s">
        <v>618</v>
      </c>
      <c r="B104" s="18">
        <v>221</v>
      </c>
      <c r="C104" s="1">
        <v>100</v>
      </c>
      <c r="D104" s="15">
        <f>ROUND(+C104*I$149,2)</f>
        <v>9.93</v>
      </c>
      <c r="E104" s="14">
        <f>'Schedule 2'!$H$15</f>
        <v>3.13</v>
      </c>
      <c r="F104" s="14">
        <v>0</v>
      </c>
      <c r="G104" s="254">
        <f>SUM(D104:F104)</f>
        <v>13.059999999999999</v>
      </c>
      <c r="H104" s="262">
        <f>G104*K104*12</f>
        <v>25075.199999999997</v>
      </c>
      <c r="I104" s="171">
        <f>+'2005 Stlgt Rates'!I94</f>
        <v>13.87</v>
      </c>
      <c r="J104" s="172">
        <f>+G104/I104-1</f>
        <v>-5.8399423215573232E-2</v>
      </c>
      <c r="K104" s="20">
        <f>+'Schedule 1'!D51</f>
        <v>160</v>
      </c>
      <c r="L104" s="174">
        <f>ROUND((G104-I104)*K104*12,0)</f>
        <v>-1555</v>
      </c>
      <c r="N104" s="174">
        <f>$D104*$K104*12</f>
        <v>19065.599999999999</v>
      </c>
      <c r="O104" s="174">
        <f>$E104*$K104*12</f>
        <v>6009.5999999999995</v>
      </c>
      <c r="P104" s="174">
        <f>$F104*$K104*12</f>
        <v>0</v>
      </c>
      <c r="Q104" s="174">
        <f>SUM(N104:P104)</f>
        <v>25075.199999999997</v>
      </c>
    </row>
    <row r="105" spans="1:17">
      <c r="A105" s="8"/>
      <c r="B105" s="18"/>
      <c r="D105" s="15"/>
      <c r="E105" s="14"/>
      <c r="F105" s="14"/>
      <c r="G105" s="254"/>
      <c r="H105" s="262"/>
      <c r="I105" s="171"/>
      <c r="J105" s="172"/>
      <c r="K105" s="20"/>
      <c r="L105" s="174"/>
    </row>
    <row r="106" spans="1:17" ht="15.75">
      <c r="A106" s="176" t="s">
        <v>620</v>
      </c>
      <c r="B106" s="183">
        <v>323</v>
      </c>
      <c r="C106" s="176">
        <v>32</v>
      </c>
      <c r="D106" s="177">
        <f t="shared" ref="D106:D111" si="55">ROUND(+C106*I$149,2)</f>
        <v>3.18</v>
      </c>
      <c r="E106" s="178">
        <v>0</v>
      </c>
      <c r="F106" s="178">
        <v>0</v>
      </c>
      <c r="G106" s="255">
        <f t="shared" ref="G106:G111" si="56">SUM(D106:F106)</f>
        <v>3.18</v>
      </c>
      <c r="H106" s="264">
        <f t="shared" ref="H106:H111" si="57">G106*K106*12</f>
        <v>240369.84</v>
      </c>
      <c r="I106" s="179">
        <f>+'2005 Stlgt Rates'!F155</f>
        <v>3.17</v>
      </c>
      <c r="J106" s="180">
        <f t="shared" ref="J106:J111" si="58">+G106/I106-1</f>
        <v>3.154574132492094E-3</v>
      </c>
      <c r="K106" s="181">
        <f>+'Schedule 1'!E53</f>
        <v>6299</v>
      </c>
      <c r="L106" s="182">
        <f t="shared" ref="L106:L111" si="59">ROUND((G106-I106)*K106*12,0)</f>
        <v>756</v>
      </c>
      <c r="N106" s="243">
        <f t="shared" ref="N106:N111" si="60">$D106*$K106*12</f>
        <v>240369.84</v>
      </c>
      <c r="O106" s="243">
        <f t="shared" ref="O106:O111" si="61">$E106*$K106*12</f>
        <v>0</v>
      </c>
      <c r="P106" s="243">
        <f t="shared" ref="P106:P111" si="62">$F106*$K106*12</f>
        <v>0</v>
      </c>
      <c r="Q106" s="243">
        <f t="shared" ref="Q106:Q111" si="63">SUM(N106:P106)</f>
        <v>240369.84</v>
      </c>
    </row>
    <row r="107" spans="1:17" ht="15.75">
      <c r="A107" s="176" t="s">
        <v>621</v>
      </c>
      <c r="B107" s="183">
        <v>324</v>
      </c>
      <c r="C107" s="176">
        <v>45</v>
      </c>
      <c r="D107" s="177">
        <f t="shared" si="55"/>
        <v>4.47</v>
      </c>
      <c r="E107" s="178">
        <v>0</v>
      </c>
      <c r="F107" s="178">
        <v>0</v>
      </c>
      <c r="G107" s="255">
        <f t="shared" si="56"/>
        <v>4.47</v>
      </c>
      <c r="H107" s="264">
        <f t="shared" si="57"/>
        <v>134529.12</v>
      </c>
      <c r="I107" s="179">
        <f>+'2005 Stlgt Rates'!F156</f>
        <v>4.47</v>
      </c>
      <c r="J107" s="180">
        <f t="shared" si="58"/>
        <v>0</v>
      </c>
      <c r="K107" s="181">
        <f>+'Schedule 1'!E54</f>
        <v>2508</v>
      </c>
      <c r="L107" s="182">
        <f t="shared" si="59"/>
        <v>0</v>
      </c>
      <c r="N107" s="243">
        <f t="shared" si="60"/>
        <v>134529.12</v>
      </c>
      <c r="O107" s="243">
        <f t="shared" si="61"/>
        <v>0</v>
      </c>
      <c r="P107" s="243">
        <f t="shared" si="62"/>
        <v>0</v>
      </c>
      <c r="Q107" s="243">
        <f t="shared" si="63"/>
        <v>134529.12</v>
      </c>
    </row>
    <row r="108" spans="1:17" ht="15.75">
      <c r="A108" s="176" t="s">
        <v>622</v>
      </c>
      <c r="B108" s="183">
        <v>325</v>
      </c>
      <c r="C108" s="176">
        <v>65</v>
      </c>
      <c r="D108" s="177">
        <f t="shared" si="55"/>
        <v>6.45</v>
      </c>
      <c r="E108" s="178">
        <v>0</v>
      </c>
      <c r="F108" s="178">
        <v>0</v>
      </c>
      <c r="G108" s="255">
        <f t="shared" si="56"/>
        <v>6.45</v>
      </c>
      <c r="H108" s="264">
        <f t="shared" si="57"/>
        <v>100542.6</v>
      </c>
      <c r="I108" s="179">
        <f>+'2005 Stlgt Rates'!F157</f>
        <v>6.45</v>
      </c>
      <c r="J108" s="180">
        <f t="shared" si="58"/>
        <v>0</v>
      </c>
      <c r="K108" s="181">
        <f>+'Schedule 1'!E55</f>
        <v>1299</v>
      </c>
      <c r="L108" s="182">
        <f t="shared" si="59"/>
        <v>0</v>
      </c>
      <c r="N108" s="243">
        <f t="shared" si="60"/>
        <v>100542.6</v>
      </c>
      <c r="O108" s="243">
        <f t="shared" si="61"/>
        <v>0</v>
      </c>
      <c r="P108" s="243">
        <f t="shared" si="62"/>
        <v>0</v>
      </c>
      <c r="Q108" s="243">
        <f t="shared" si="63"/>
        <v>100542.6</v>
      </c>
    </row>
    <row r="109" spans="1:17" ht="15.75">
      <c r="A109" s="176" t="s">
        <v>618</v>
      </c>
      <c r="B109" s="183">
        <v>321</v>
      </c>
      <c r="C109" s="176">
        <v>100</v>
      </c>
      <c r="D109" s="177">
        <f t="shared" si="55"/>
        <v>9.93</v>
      </c>
      <c r="E109" s="178">
        <v>0</v>
      </c>
      <c r="F109" s="178">
        <v>0</v>
      </c>
      <c r="G109" s="255">
        <f t="shared" si="56"/>
        <v>9.93</v>
      </c>
      <c r="H109" s="264">
        <f t="shared" si="57"/>
        <v>199831.32</v>
      </c>
      <c r="I109" s="179">
        <f>+'2005 Stlgt Rates'!F158</f>
        <v>9.93</v>
      </c>
      <c r="J109" s="180">
        <f t="shared" si="58"/>
        <v>0</v>
      </c>
      <c r="K109" s="181">
        <f>+'Schedule 1'!E51</f>
        <v>1677</v>
      </c>
      <c r="L109" s="182">
        <f t="shared" si="59"/>
        <v>0</v>
      </c>
      <c r="N109" s="243">
        <f t="shared" si="60"/>
        <v>199831.32</v>
      </c>
      <c r="O109" s="243">
        <f t="shared" si="61"/>
        <v>0</v>
      </c>
      <c r="P109" s="243">
        <f t="shared" si="62"/>
        <v>0</v>
      </c>
      <c r="Q109" s="243">
        <f t="shared" si="63"/>
        <v>199831.32</v>
      </c>
    </row>
    <row r="110" spans="1:17" ht="15.75">
      <c r="A110" s="176" t="s">
        <v>619</v>
      </c>
      <c r="B110" s="183">
        <v>322</v>
      </c>
      <c r="C110" s="176">
        <v>150</v>
      </c>
      <c r="D110" s="177">
        <f t="shared" si="55"/>
        <v>14.9</v>
      </c>
      <c r="E110" s="178">
        <v>0</v>
      </c>
      <c r="F110" s="178">
        <v>0</v>
      </c>
      <c r="G110" s="255">
        <f t="shared" si="56"/>
        <v>14.9</v>
      </c>
      <c r="H110" s="264">
        <f t="shared" si="57"/>
        <v>15376.800000000001</v>
      </c>
      <c r="I110" s="179">
        <f>+'2005 Stlgt Rates'!F159</f>
        <v>14.89</v>
      </c>
      <c r="J110" s="180">
        <f t="shared" si="58"/>
        <v>6.7159167226327199E-4</v>
      </c>
      <c r="K110" s="181">
        <f>+'Schedule 1'!E52</f>
        <v>86</v>
      </c>
      <c r="L110" s="182">
        <f t="shared" si="59"/>
        <v>10</v>
      </c>
      <c r="N110" s="243">
        <f t="shared" si="60"/>
        <v>15376.800000000001</v>
      </c>
      <c r="O110" s="243">
        <f t="shared" si="61"/>
        <v>0</v>
      </c>
      <c r="P110" s="243">
        <f t="shared" si="62"/>
        <v>0</v>
      </c>
      <c r="Q110" s="243">
        <f t="shared" si="63"/>
        <v>15376.800000000001</v>
      </c>
    </row>
    <row r="111" spans="1:17" ht="15.75">
      <c r="A111" s="176" t="s">
        <v>623</v>
      </c>
      <c r="B111" s="183">
        <v>327</v>
      </c>
      <c r="C111" s="176">
        <v>183</v>
      </c>
      <c r="D111" s="177">
        <f t="shared" si="55"/>
        <v>18.170000000000002</v>
      </c>
      <c r="E111" s="178">
        <v>0</v>
      </c>
      <c r="F111" s="178">
        <v>0</v>
      </c>
      <c r="G111" s="255">
        <f t="shared" si="56"/>
        <v>18.170000000000002</v>
      </c>
      <c r="H111" s="263">
        <f t="shared" si="57"/>
        <v>654.12000000000012</v>
      </c>
      <c r="I111" s="179">
        <f>+'2005 Stlgt Rates'!F160</f>
        <v>18.190000000000001</v>
      </c>
      <c r="J111" s="180">
        <f t="shared" si="58"/>
        <v>-1.0995052226497881E-3</v>
      </c>
      <c r="K111" s="184">
        <f>+'Schedule 1'!E56</f>
        <v>3</v>
      </c>
      <c r="L111" s="200">
        <f t="shared" si="59"/>
        <v>-1</v>
      </c>
      <c r="N111" s="243">
        <f t="shared" si="60"/>
        <v>654.12000000000012</v>
      </c>
      <c r="O111" s="243">
        <f t="shared" si="61"/>
        <v>0</v>
      </c>
      <c r="P111" s="243">
        <f t="shared" si="62"/>
        <v>0</v>
      </c>
      <c r="Q111" s="243">
        <f t="shared" si="63"/>
        <v>654.12000000000012</v>
      </c>
    </row>
    <row r="112" spans="1:17">
      <c r="A112" s="8"/>
      <c r="D112" s="15"/>
      <c r="E112" s="14"/>
      <c r="F112" s="14"/>
      <c r="G112" s="254"/>
      <c r="H112" s="262">
        <f>SUM(H93:H111)</f>
        <v>15877927.987907793</v>
      </c>
      <c r="I112" s="171"/>
      <c r="J112" s="172"/>
      <c r="K112" s="20">
        <f>SUM(K93:K111)</f>
        <v>110979</v>
      </c>
      <c r="L112" s="174">
        <f>SUM(L93:L111)</f>
        <v>736136</v>
      </c>
    </row>
    <row r="113" spans="1:17">
      <c r="B113" s="18"/>
      <c r="E113" s="14"/>
      <c r="F113" s="14"/>
      <c r="G113" s="254"/>
      <c r="H113" s="262"/>
    </row>
    <row r="114" spans="1:17" ht="15.75">
      <c r="A114" s="4" t="s">
        <v>81</v>
      </c>
      <c r="B114" s="18"/>
      <c r="E114" s="14"/>
      <c r="F114" s="14"/>
      <c r="G114" s="254"/>
      <c r="H114" s="262"/>
    </row>
    <row r="115" spans="1:17" ht="15.75">
      <c r="B115" s="12"/>
      <c r="E115" s="14"/>
      <c r="F115" s="14"/>
      <c r="G115" s="254"/>
      <c r="H115" s="262"/>
    </row>
    <row r="116" spans="1:17">
      <c r="A116" s="8" t="s">
        <v>90</v>
      </c>
      <c r="B116" s="18">
        <v>142</v>
      </c>
      <c r="C116" s="1">
        <v>100</v>
      </c>
      <c r="D116" s="15">
        <f>ROUND(+C116*I$149,2)</f>
        <v>9.93</v>
      </c>
      <c r="E116" s="14">
        <f>+'Schedule 2'!H17</f>
        <v>7.5</v>
      </c>
      <c r="F116" s="14">
        <f>'Schedule 4'!$H40</f>
        <v>8.2159817734874014</v>
      </c>
      <c r="G116" s="254">
        <f>SUM(D116:F116)</f>
        <v>25.645981773487399</v>
      </c>
      <c r="H116" s="262">
        <f>G116*K116*12</f>
        <v>19696.114002038325</v>
      </c>
      <c r="I116" s="171">
        <f>+'2005 Stlgt Rates'!I103</f>
        <v>21.58</v>
      </c>
      <c r="J116" s="172">
        <f>+G116/I116-1</f>
        <v>0.18841435465650602</v>
      </c>
      <c r="K116" s="20">
        <f>+'Schedule 1'!C67</f>
        <v>64</v>
      </c>
      <c r="L116" s="174">
        <f>ROUND((G116-I116)*K116*12,0)</f>
        <v>3123</v>
      </c>
      <c r="N116" s="174">
        <f>$D116*$K116*12</f>
        <v>7626.24</v>
      </c>
      <c r="O116" s="174">
        <f>$E116*$K116*12</f>
        <v>5760</v>
      </c>
      <c r="P116" s="174">
        <f>$F116*$K116*12</f>
        <v>6309.8740020383248</v>
      </c>
      <c r="Q116" s="174">
        <f>SUM(N116:P116)</f>
        <v>19696.114002038325</v>
      </c>
    </row>
    <row r="117" spans="1:17">
      <c r="A117" s="8" t="s">
        <v>31</v>
      </c>
      <c r="B117" s="18">
        <v>140</v>
      </c>
      <c r="C117" s="1">
        <v>150</v>
      </c>
      <c r="D117" s="15">
        <f>ROUND(+C117*I$149,2)</f>
        <v>14.9</v>
      </c>
      <c r="E117" s="14">
        <f>+'Schedule 2'!H18</f>
        <v>5</v>
      </c>
      <c r="F117" s="14">
        <f>'Schedule 4'!$H41</f>
        <v>6.3045617734874027</v>
      </c>
      <c r="G117" s="254">
        <f>SUM(D117:F117)</f>
        <v>26.204561773487402</v>
      </c>
      <c r="H117" s="262">
        <f>G117*K117*12</f>
        <v>382062.51065744634</v>
      </c>
      <c r="I117" s="171">
        <f>+'2005 Stlgt Rates'!I101</f>
        <v>31.13</v>
      </c>
      <c r="J117" s="172">
        <f>+G117/I117-1</f>
        <v>-0.15822159417001591</v>
      </c>
      <c r="K117" s="20">
        <f>+'Schedule 1'!C65</f>
        <v>1215</v>
      </c>
      <c r="L117" s="174">
        <f>ROUND((G117-I117)*K117*12,0)</f>
        <v>-71813</v>
      </c>
      <c r="N117" s="174">
        <f>$D117*$K117*12</f>
        <v>217242</v>
      </c>
      <c r="O117" s="174">
        <f>$E117*$K117*12</f>
        <v>72900</v>
      </c>
      <c r="P117" s="174">
        <f>$F117*$K117*12</f>
        <v>91920.510657446343</v>
      </c>
      <c r="Q117" s="174">
        <f>SUM(N117:P117)</f>
        <v>382062.51065744634</v>
      </c>
    </row>
    <row r="118" spans="1:17">
      <c r="A118" s="8" t="s">
        <v>32</v>
      </c>
      <c r="B118" s="18">
        <v>141</v>
      </c>
      <c r="C118" s="1">
        <v>360</v>
      </c>
      <c r="D118" s="15">
        <f>ROUND(+C118*I$149,2)</f>
        <v>35.75</v>
      </c>
      <c r="E118" s="15">
        <f>'Schedule 2'!$H19</f>
        <v>7.5</v>
      </c>
      <c r="F118" s="15">
        <f>'Schedule 4'!$H42</f>
        <v>9.6880184401540692</v>
      </c>
      <c r="G118" s="257">
        <f>SUM(D118:F118)</f>
        <v>52.938018440154067</v>
      </c>
      <c r="H118" s="262">
        <f>G118*K118*12</f>
        <v>529168.43232778006</v>
      </c>
      <c r="I118" s="171">
        <f>+'2005 Stlgt Rates'!I102</f>
        <v>63.88</v>
      </c>
      <c r="J118" s="172">
        <f>+G118/I118-1</f>
        <v>-0.17128962992870911</v>
      </c>
      <c r="K118" s="20">
        <f>+'Schedule 1'!C66</f>
        <v>833</v>
      </c>
      <c r="L118" s="174">
        <f>ROUND((G118-I118)*K118*12,0)</f>
        <v>-109376</v>
      </c>
      <c r="N118" s="174">
        <f>$D118*$K118*12</f>
        <v>357357</v>
      </c>
      <c r="O118" s="174">
        <f>$E118*$K118*12</f>
        <v>74970</v>
      </c>
      <c r="P118" s="174">
        <f>$F118*$K118*12</f>
        <v>96841.432327780072</v>
      </c>
      <c r="Q118" s="174">
        <f>SUM(N118:P118)</f>
        <v>529168.43232778006</v>
      </c>
    </row>
    <row r="119" spans="1:17">
      <c r="A119" s="8"/>
      <c r="B119" s="18"/>
      <c r="D119" s="15"/>
      <c r="E119" s="15"/>
      <c r="F119" s="15"/>
      <c r="G119" s="257"/>
      <c r="H119" s="261"/>
      <c r="I119" s="171"/>
      <c r="J119" s="172"/>
      <c r="K119" s="20"/>
      <c r="L119" s="174"/>
    </row>
    <row r="120" spans="1:17" ht="15.75">
      <c r="A120" s="236" t="s">
        <v>96</v>
      </c>
      <c r="B120" s="278">
        <v>143</v>
      </c>
      <c r="C120" s="236">
        <v>67</v>
      </c>
      <c r="D120" s="238">
        <f>ROUND(+C120*I$149,2)</f>
        <v>6.65</v>
      </c>
      <c r="E120" s="238">
        <f>+'Schedule 2'!H17</f>
        <v>7.5</v>
      </c>
      <c r="F120" s="238">
        <v>0</v>
      </c>
      <c r="G120" s="279">
        <f>SUM(D120:F120)</f>
        <v>14.15</v>
      </c>
      <c r="H120" s="277">
        <f>G120*K120*12</f>
        <v>169.8</v>
      </c>
      <c r="I120" s="240">
        <f>+'2005 Stlgt Rates'!I166</f>
        <v>18.28</v>
      </c>
      <c r="J120" s="241">
        <f>+G120/I120-1</f>
        <v>-0.22592997811816196</v>
      </c>
      <c r="K120" s="242">
        <f>+'Schedule 1'!D68</f>
        <v>1</v>
      </c>
      <c r="L120" s="243">
        <f>ROUND((G120-I120)*K120*12,0)</f>
        <v>-50</v>
      </c>
      <c r="N120" s="243">
        <f>$D120*$K120*12</f>
        <v>79.800000000000011</v>
      </c>
      <c r="O120" s="243">
        <f>$E120*$K120*12</f>
        <v>90</v>
      </c>
      <c r="P120" s="243">
        <f>$F120*$K120*12</f>
        <v>0</v>
      </c>
      <c r="Q120" s="243">
        <f>SUM(N120:P120)</f>
        <v>169.8</v>
      </c>
    </row>
    <row r="121" spans="1:17">
      <c r="A121" s="8"/>
      <c r="B121" s="18"/>
      <c r="G121" s="251"/>
      <c r="H121" s="261"/>
    </row>
    <row r="122" spans="1:17" ht="15.75">
      <c r="A122" s="236" t="s">
        <v>90</v>
      </c>
      <c r="B122" s="278">
        <v>343</v>
      </c>
      <c r="C122" s="236">
        <v>100</v>
      </c>
      <c r="D122" s="238">
        <f>ROUND(+C122*I$149,2)</f>
        <v>9.93</v>
      </c>
      <c r="E122" s="236">
        <v>0</v>
      </c>
      <c r="F122" s="236">
        <v>0</v>
      </c>
      <c r="G122" s="279">
        <f>SUM(D122:F122)</f>
        <v>9.93</v>
      </c>
      <c r="H122" s="277">
        <f>G122*K122*12</f>
        <v>7864.5599999999995</v>
      </c>
      <c r="I122" s="240">
        <f>+'2005 Stlgt Rates'!F168</f>
        <v>9.93</v>
      </c>
      <c r="J122" s="241">
        <f>+G122/I122-1</f>
        <v>0</v>
      </c>
      <c r="K122" s="242">
        <f>+'Schedule 1'!E67</f>
        <v>66</v>
      </c>
      <c r="L122" s="243">
        <f>ROUND((G122-I122)*K122*12,0)</f>
        <v>0</v>
      </c>
      <c r="N122" s="243">
        <f>$D122*$K122*12</f>
        <v>7864.5599999999995</v>
      </c>
      <c r="O122" s="243">
        <f>$E122*$K122*12</f>
        <v>0</v>
      </c>
      <c r="P122" s="243">
        <f>$F122*$K122*12</f>
        <v>0</v>
      </c>
      <c r="Q122" s="243">
        <f>SUM(N122:P122)</f>
        <v>7864.5599999999995</v>
      </c>
    </row>
    <row r="123" spans="1:17" ht="15.75">
      <c r="A123" s="236" t="s">
        <v>31</v>
      </c>
      <c r="B123" s="278">
        <v>342</v>
      </c>
      <c r="C123" s="236">
        <v>150</v>
      </c>
      <c r="D123" s="238">
        <f>ROUND(+C123*I$149,2)</f>
        <v>14.9</v>
      </c>
      <c r="E123" s="236">
        <v>0</v>
      </c>
      <c r="F123" s="236">
        <v>0</v>
      </c>
      <c r="G123" s="279">
        <f>SUM(D123:F123)</f>
        <v>14.9</v>
      </c>
      <c r="H123" s="277">
        <f>G123*K123*12</f>
        <v>27356.400000000001</v>
      </c>
      <c r="I123" s="240">
        <f>+'2005 Stlgt Rates'!F169</f>
        <v>14.89</v>
      </c>
      <c r="J123" s="241">
        <f>+G123/I123-1</f>
        <v>6.7159167226327199E-4</v>
      </c>
      <c r="K123" s="242">
        <f>+'Schedule 1'!E65</f>
        <v>153</v>
      </c>
      <c r="L123" s="243">
        <f>ROUND((G123-I123)*K123*12,0)</f>
        <v>18</v>
      </c>
      <c r="N123" s="243">
        <f>$D123*$K123*12</f>
        <v>27356.400000000001</v>
      </c>
      <c r="O123" s="243">
        <f>$E123*$K123*12</f>
        <v>0</v>
      </c>
      <c r="P123" s="243">
        <f>$F123*$K123*12</f>
        <v>0</v>
      </c>
      <c r="Q123" s="243">
        <f>SUM(N123:P123)</f>
        <v>27356.400000000001</v>
      </c>
    </row>
    <row r="124" spans="1:17" ht="15.75">
      <c r="A124" s="236" t="s">
        <v>32</v>
      </c>
      <c r="B124" s="278">
        <v>341</v>
      </c>
      <c r="C124" s="236">
        <v>360</v>
      </c>
      <c r="D124" s="238">
        <f>ROUND(+C124*I$149,2)</f>
        <v>35.75</v>
      </c>
      <c r="E124" s="236">
        <v>0</v>
      </c>
      <c r="F124" s="236">
        <v>0</v>
      </c>
      <c r="G124" s="279">
        <f>SUM(D124:F124)</f>
        <v>35.75</v>
      </c>
      <c r="H124" s="277">
        <f>G124*K124*12</f>
        <v>4719</v>
      </c>
      <c r="I124" s="240">
        <f>+'2005 Stlgt Rates'!F170</f>
        <v>35.75</v>
      </c>
      <c r="J124" s="241">
        <f>+G124/I124-1</f>
        <v>0</v>
      </c>
      <c r="K124" s="242">
        <f>+'Schedule 1'!E66</f>
        <v>11</v>
      </c>
      <c r="L124" s="243">
        <f>ROUND((G124-I124)*K124*12,0)</f>
        <v>0</v>
      </c>
      <c r="N124" s="243">
        <f>$D124*$K124*12</f>
        <v>4719</v>
      </c>
      <c r="O124" s="243">
        <f>$E124*$K124*12</f>
        <v>0</v>
      </c>
      <c r="P124" s="243">
        <f>$F124*$K124*12</f>
        <v>0</v>
      </c>
      <c r="Q124" s="243">
        <f>SUM(N124:P124)</f>
        <v>4719</v>
      </c>
    </row>
    <row r="125" spans="1:17" ht="15.75">
      <c r="A125" s="236" t="s">
        <v>100</v>
      </c>
      <c r="B125" s="278">
        <v>344</v>
      </c>
      <c r="C125" s="236">
        <v>67</v>
      </c>
      <c r="D125" s="238">
        <f>ROUND(+C125*I$149,2)</f>
        <v>6.65</v>
      </c>
      <c r="E125" s="236">
        <v>0</v>
      </c>
      <c r="F125" s="236">
        <v>0</v>
      </c>
      <c r="G125" s="279">
        <f>SUM(D125:F125)</f>
        <v>6.65</v>
      </c>
      <c r="H125" s="277">
        <f>G125*K125*12</f>
        <v>5745.6</v>
      </c>
      <c r="I125" s="240">
        <f>+'2005 Stlgt Rates'!F171</f>
        <v>7.45</v>
      </c>
      <c r="J125" s="241">
        <f>+G125/I125-1</f>
        <v>-0.10738255033557043</v>
      </c>
      <c r="K125" s="242">
        <f>+'Schedule 1'!E69</f>
        <v>72</v>
      </c>
      <c r="L125" s="243">
        <f>ROUND((G125-I125)*K125*12,0)</f>
        <v>-691</v>
      </c>
      <c r="N125" s="243">
        <f>$D125*$K125*12</f>
        <v>5745.6</v>
      </c>
      <c r="O125" s="243">
        <f>$E125*$K125*12</f>
        <v>0</v>
      </c>
      <c r="P125" s="243">
        <f>$F125*$K125*12</f>
        <v>0</v>
      </c>
      <c r="Q125" s="243">
        <f>SUM(N125:P125)</f>
        <v>5745.6</v>
      </c>
    </row>
    <row r="126" spans="1:17" ht="15.75">
      <c r="A126" s="236" t="s">
        <v>96</v>
      </c>
      <c r="B126" s="278">
        <v>345</v>
      </c>
      <c r="C126" s="236">
        <v>57</v>
      </c>
      <c r="D126" s="238">
        <f>ROUND(+C126*I$149,2)</f>
        <v>5.66</v>
      </c>
      <c r="E126" s="236">
        <v>0</v>
      </c>
      <c r="F126" s="236">
        <v>0</v>
      </c>
      <c r="G126" s="279">
        <f>SUM(D126:F126)</f>
        <v>5.66</v>
      </c>
      <c r="H126" s="271">
        <f>G126*K126*12</f>
        <v>203.76</v>
      </c>
      <c r="I126" s="240">
        <f>+'2005 Stlgt Rates'!F172</f>
        <v>6.64</v>
      </c>
      <c r="J126" s="241">
        <f>+G126/I126-1</f>
        <v>-0.14759036144578308</v>
      </c>
      <c r="K126" s="267">
        <f>+'Schedule 1'!E70</f>
        <v>3</v>
      </c>
      <c r="L126" s="268">
        <f>ROUND((G126-I126)*K126*12,0)</f>
        <v>-35</v>
      </c>
      <c r="N126" s="243">
        <f>$D126*$K126*12</f>
        <v>203.76</v>
      </c>
      <c r="O126" s="243">
        <f>$E126*$K126*12</f>
        <v>0</v>
      </c>
      <c r="P126" s="243">
        <f>$F126*$K126*12</f>
        <v>0</v>
      </c>
      <c r="Q126" s="243">
        <f>SUM(N126:P126)</f>
        <v>203.76</v>
      </c>
    </row>
    <row r="127" spans="1:17">
      <c r="A127" s="8"/>
      <c r="D127" s="15"/>
      <c r="G127" s="257"/>
      <c r="H127" s="261">
        <f>SUM(H116:H126)</f>
        <v>976986.17698726477</v>
      </c>
      <c r="I127" s="171"/>
      <c r="J127" s="172"/>
      <c r="K127" s="20">
        <f>SUM(K116:K126)</f>
        <v>2418</v>
      </c>
      <c r="L127" s="174">
        <f>SUM(L116:L126)</f>
        <v>-178824</v>
      </c>
    </row>
    <row r="128" spans="1:17" ht="15.75" thickBot="1">
      <c r="A128" s="8"/>
      <c r="G128" s="251"/>
      <c r="H128" s="252"/>
    </row>
    <row r="129" spans="1:17" ht="16.5" thickBot="1">
      <c r="A129" s="169" t="s">
        <v>642</v>
      </c>
      <c r="D129" s="29"/>
      <c r="E129" s="29"/>
      <c r="F129" s="29"/>
      <c r="G129" s="259"/>
      <c r="H129" s="260">
        <f>SUM(H10:H127)/2</f>
        <v>20926728.276347429</v>
      </c>
      <c r="K129" s="201">
        <f>SUM(K10:K128)/2</f>
        <v>134287</v>
      </c>
      <c r="L129" s="202">
        <f>+L14+L39+L49+L59+L69+L80+L90+L112+L127</f>
        <v>1226673</v>
      </c>
      <c r="N129" s="322">
        <f>SUM(N10:N128)</f>
        <v>8700057.0373200029</v>
      </c>
      <c r="O129" s="323">
        <f>SUM(O10:O128)</f>
        <v>4909629.96</v>
      </c>
      <c r="P129" s="323">
        <f>SUM(P10:P128)</f>
        <v>7317041.2790274285</v>
      </c>
      <c r="Q129" s="202">
        <f>SUM(Q10:Q128)</f>
        <v>20926728.276347436</v>
      </c>
    </row>
    <row r="130" spans="1:17" ht="15.75">
      <c r="B130" s="169"/>
    </row>
    <row r="136" spans="1:17" ht="15.75">
      <c r="D136" s="4" t="s">
        <v>688</v>
      </c>
    </row>
    <row r="139" spans="1:17" ht="15.75">
      <c r="D139" s="30" t="s">
        <v>712</v>
      </c>
      <c r="E139" s="31"/>
      <c r="F139" s="31"/>
      <c r="G139" s="31"/>
      <c r="H139" s="31"/>
      <c r="I139" s="31"/>
      <c r="J139" s="32"/>
    </row>
    <row r="140" spans="1:17" ht="15.75">
      <c r="D140" s="33" t="s">
        <v>711</v>
      </c>
      <c r="E140" s="34"/>
      <c r="F140" s="34"/>
      <c r="G140" s="34"/>
      <c r="H140" s="34"/>
      <c r="I140" s="34"/>
      <c r="J140" s="35"/>
    </row>
    <row r="141" spans="1:17" ht="15.75">
      <c r="D141" s="33"/>
      <c r="E141" s="34"/>
      <c r="F141" s="34"/>
      <c r="G141" s="34"/>
      <c r="H141" s="34"/>
      <c r="I141" s="34"/>
      <c r="J141" s="35"/>
    </row>
    <row r="142" spans="1:17" ht="15.75">
      <c r="D142" s="36" t="s">
        <v>713</v>
      </c>
      <c r="E142" s="34"/>
      <c r="F142" s="34"/>
      <c r="G142" s="34"/>
      <c r="H142" s="34"/>
      <c r="I142" s="34"/>
      <c r="J142" s="35"/>
    </row>
    <row r="143" spans="1:17">
      <c r="D143" s="37" t="s">
        <v>104</v>
      </c>
      <c r="E143" s="34"/>
      <c r="H143" s="34"/>
      <c r="I143" s="338">
        <v>7.74</v>
      </c>
      <c r="J143" s="35"/>
    </row>
    <row r="144" spans="1:17">
      <c r="D144" s="37" t="s">
        <v>82</v>
      </c>
      <c r="E144" s="34"/>
      <c r="H144" s="34"/>
      <c r="I144" s="327"/>
      <c r="J144" s="35"/>
    </row>
    <row r="145" spans="4:10">
      <c r="D145" s="37" t="s">
        <v>105</v>
      </c>
      <c r="F145" s="56">
        <f>200</f>
        <v>200</v>
      </c>
      <c r="G145" s="56"/>
      <c r="H145" s="38">
        <v>8.7999999999999995E-2</v>
      </c>
      <c r="I145" s="327">
        <f>ROUND(+F145*H145,2)</f>
        <v>17.600000000000001</v>
      </c>
      <c r="J145" s="35"/>
    </row>
    <row r="146" spans="4:10">
      <c r="D146" s="37" t="s">
        <v>106</v>
      </c>
      <c r="F146" s="56">
        <f>(4000/12)-F145</f>
        <v>133.33333333333331</v>
      </c>
      <c r="G146" s="56"/>
      <c r="H146" s="38">
        <v>5.8200000000000002E-2</v>
      </c>
      <c r="I146" s="328">
        <f>ROUND(+F146*H146,2)</f>
        <v>7.76</v>
      </c>
      <c r="J146" s="35"/>
    </row>
    <row r="147" spans="4:10">
      <c r="D147" s="39"/>
      <c r="F147" s="56"/>
      <c r="G147" s="56"/>
      <c r="H147" s="34"/>
      <c r="I147" s="338">
        <f>SUM(I143:I146)</f>
        <v>33.1</v>
      </c>
      <c r="J147" s="35"/>
    </row>
    <row r="148" spans="4:10">
      <c r="D148" s="39"/>
      <c r="F148" s="56"/>
      <c r="G148" s="56"/>
      <c r="H148" s="34"/>
      <c r="I148" s="338"/>
      <c r="J148" s="35"/>
    </row>
    <row r="149" spans="4:10" ht="15.75">
      <c r="D149" s="37" t="s">
        <v>83</v>
      </c>
      <c r="F149" s="56">
        <f>SUM(F145:F146)</f>
        <v>333.33333333333331</v>
      </c>
      <c r="G149" s="56"/>
      <c r="H149" s="34"/>
      <c r="I149" s="329">
        <f>ROUND(+I147/F149,6)</f>
        <v>9.9299999999999999E-2</v>
      </c>
      <c r="J149" s="35"/>
    </row>
    <row r="150" spans="4:10">
      <c r="D150" s="39"/>
      <c r="E150" s="56"/>
      <c r="F150" s="34"/>
      <c r="G150" s="34"/>
      <c r="H150" s="34"/>
      <c r="I150" s="34"/>
      <c r="J150" s="35"/>
    </row>
    <row r="151" spans="4:10" ht="15.75">
      <c r="D151" s="36" t="s">
        <v>714</v>
      </c>
      <c r="E151" s="56"/>
      <c r="F151" s="34"/>
      <c r="G151" s="34"/>
      <c r="H151" s="34"/>
      <c r="I151" s="34"/>
      <c r="J151" s="35"/>
    </row>
    <row r="152" spans="4:10">
      <c r="D152" s="37" t="s">
        <v>104</v>
      </c>
      <c r="E152" s="56"/>
      <c r="F152" s="34"/>
      <c r="G152" s="34"/>
      <c r="I152" s="338">
        <f>+I143</f>
        <v>7.74</v>
      </c>
      <c r="J152" s="35"/>
    </row>
    <row r="153" spans="4:10">
      <c r="D153" s="37" t="s">
        <v>82</v>
      </c>
      <c r="E153" s="56"/>
      <c r="F153" s="34"/>
      <c r="G153" s="34"/>
      <c r="H153" s="327"/>
      <c r="I153" s="34"/>
      <c r="J153" s="35"/>
    </row>
    <row r="154" spans="4:10">
      <c r="D154" s="37" t="s">
        <v>105</v>
      </c>
      <c r="F154" s="56">
        <f>200</f>
        <v>200</v>
      </c>
      <c r="G154" s="56"/>
      <c r="H154" s="38">
        <f>H145</f>
        <v>8.7999999999999995E-2</v>
      </c>
      <c r="I154" s="327">
        <f>ROUND(+F154*H154,2)</f>
        <v>17.600000000000001</v>
      </c>
      <c r="J154" s="35"/>
    </row>
    <row r="155" spans="4:10">
      <c r="D155" s="37" t="s">
        <v>106</v>
      </c>
      <c r="F155" s="56">
        <f>(8760/12)-F154</f>
        <v>530</v>
      </c>
      <c r="G155" s="56"/>
      <c r="H155" s="38">
        <f>H146</f>
        <v>5.8200000000000002E-2</v>
      </c>
      <c r="I155" s="328">
        <f>ROUND(+F155*H155,2)</f>
        <v>30.85</v>
      </c>
      <c r="J155" s="35"/>
    </row>
    <row r="156" spans="4:10">
      <c r="D156" s="39"/>
      <c r="F156" s="56"/>
      <c r="G156" s="56"/>
      <c r="H156" s="34"/>
      <c r="I156" s="338">
        <f>SUM(I154:I155)</f>
        <v>48.45</v>
      </c>
      <c r="J156" s="35"/>
    </row>
    <row r="157" spans="4:10">
      <c r="D157" s="39"/>
      <c r="F157" s="56"/>
      <c r="G157" s="56"/>
      <c r="H157" s="34"/>
      <c r="I157" s="338"/>
      <c r="J157" s="35"/>
    </row>
    <row r="158" spans="4:10" ht="15.75">
      <c r="D158" s="40" t="s">
        <v>83</v>
      </c>
      <c r="E158" s="41"/>
      <c r="F158" s="57">
        <f>SUM(F154:F155)</f>
        <v>730</v>
      </c>
      <c r="G158" s="57"/>
      <c r="H158" s="41"/>
      <c r="I158" s="330">
        <f>ROUND(+I156/F158,6)</f>
        <v>6.6369999999999998E-2</v>
      </c>
      <c r="J158" s="331"/>
    </row>
  </sheetData>
  <mergeCells count="2">
    <mergeCell ref="D1:L1"/>
    <mergeCell ref="D2:L2"/>
  </mergeCells>
  <phoneticPr fontId="0" type="noConversion"/>
  <printOptions horizontalCentered="1"/>
  <pageMargins left="0.5" right="0.5" top="0.5" bottom="0.65277777777777801" header="0" footer="0"/>
  <pageSetup scale="64" fitToHeight="4" orientation="landscape" r:id="rId1"/>
  <headerFooter alignWithMargins="0">
    <oddFooter>&amp;LDate : &amp;D</oddFooter>
  </headerFooter>
  <rowBreaks count="3" manualBreakCount="3">
    <brk id="50" min="3" max="16" man="1"/>
    <brk id="92" min="3" max="16" man="1"/>
    <brk id="123" min="3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showOutlineSymbols="0" zoomScale="75" zoomScaleNormal="75" workbookViewId="0">
      <selection sqref="A1:XFD1048576"/>
    </sheetView>
  </sheetViews>
  <sheetFormatPr defaultColWidth="11.6640625" defaultRowHeight="15"/>
  <cols>
    <col min="1" max="1" width="34.21875" style="379" customWidth="1"/>
    <col min="2" max="2" width="10.33203125" style="379" customWidth="1"/>
    <col min="3" max="3" width="13.6640625" style="379" customWidth="1"/>
    <col min="4" max="4" width="11.6640625" style="379"/>
    <col min="5" max="5" width="12.6640625" style="379" customWidth="1"/>
    <col min="6" max="7" width="11.6640625" style="379"/>
    <col min="8" max="8" width="12.6640625" style="379" customWidth="1"/>
    <col min="9" max="16384" width="11.6640625" style="379"/>
  </cols>
  <sheetData>
    <row r="1" spans="1:12" ht="15.75">
      <c r="L1" s="380" t="s">
        <v>805</v>
      </c>
    </row>
    <row r="3" spans="1:12" ht="18">
      <c r="A3" s="457" t="str">
        <f>+'Schedule 7'!A3</f>
        <v>STREET / CROSSWALK LIGHTING STUDY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</row>
    <row r="5" spans="1:12" ht="20.25">
      <c r="A5" s="381" t="s">
        <v>690</v>
      </c>
      <c r="B5" s="459"/>
      <c r="C5" s="419"/>
      <c r="D5" s="458"/>
      <c r="E5" s="419"/>
      <c r="F5" s="419"/>
      <c r="G5" s="419"/>
      <c r="H5" s="419"/>
      <c r="I5" s="458"/>
      <c r="J5" s="458"/>
      <c r="K5" s="458"/>
      <c r="L5" s="458"/>
    </row>
    <row r="6" spans="1:12" ht="18">
      <c r="A6" s="381" t="s">
        <v>811</v>
      </c>
      <c r="B6" s="381"/>
      <c r="C6" s="419"/>
      <c r="D6" s="458"/>
      <c r="E6" s="419"/>
      <c r="F6" s="419"/>
      <c r="G6" s="419"/>
      <c r="H6" s="419"/>
      <c r="I6" s="458"/>
      <c r="J6" s="458"/>
      <c r="K6" s="458"/>
      <c r="L6" s="458"/>
    </row>
    <row r="7" spans="1:12" ht="18">
      <c r="A7" s="381"/>
      <c r="B7" s="381"/>
      <c r="C7" s="419"/>
      <c r="D7" s="419"/>
      <c r="E7" s="419"/>
      <c r="F7" s="419"/>
      <c r="G7" s="419"/>
      <c r="H7" s="419"/>
      <c r="I7" s="458"/>
      <c r="J7" s="458"/>
      <c r="K7" s="458"/>
      <c r="L7" s="458"/>
    </row>
    <row r="8" spans="1:12" ht="15.75">
      <c r="G8" s="460" t="s">
        <v>720</v>
      </c>
      <c r="H8" s="461" t="s">
        <v>720</v>
      </c>
      <c r="I8" s="384" t="s">
        <v>691</v>
      </c>
    </row>
    <row r="9" spans="1:12" ht="15.75">
      <c r="B9" s="388" t="s">
        <v>443</v>
      </c>
      <c r="C9" s="386"/>
      <c r="D9" s="387" t="s">
        <v>85</v>
      </c>
      <c r="E9" s="386"/>
      <c r="F9" s="386"/>
      <c r="G9" s="462" t="s">
        <v>816</v>
      </c>
      <c r="H9" s="463" t="s">
        <v>816</v>
      </c>
      <c r="I9" s="388" t="s">
        <v>697</v>
      </c>
      <c r="J9" s="388" t="s">
        <v>632</v>
      </c>
      <c r="L9" s="388" t="s">
        <v>635</v>
      </c>
    </row>
    <row r="10" spans="1:12" ht="15.75">
      <c r="A10" s="464" t="s">
        <v>9</v>
      </c>
      <c r="B10" s="464" t="s">
        <v>34</v>
      </c>
      <c r="C10" s="464" t="s">
        <v>84</v>
      </c>
      <c r="D10" s="464" t="s">
        <v>86</v>
      </c>
      <c r="E10" s="464" t="s">
        <v>87</v>
      </c>
      <c r="F10" s="464" t="s">
        <v>88</v>
      </c>
      <c r="G10" s="465" t="s">
        <v>631</v>
      </c>
      <c r="H10" s="466" t="s">
        <v>635</v>
      </c>
      <c r="I10" s="464" t="s">
        <v>631</v>
      </c>
      <c r="J10" s="464" t="s">
        <v>633</v>
      </c>
      <c r="K10" s="464" t="s">
        <v>634</v>
      </c>
      <c r="L10" s="464" t="s">
        <v>636</v>
      </c>
    </row>
    <row r="11" spans="1:12">
      <c r="G11" s="467"/>
      <c r="H11" s="468"/>
    </row>
    <row r="12" spans="1:12" ht="15.75">
      <c r="A12" s="386" t="s">
        <v>72</v>
      </c>
      <c r="B12" s="386"/>
      <c r="G12" s="467"/>
      <c r="H12" s="468"/>
    </row>
    <row r="13" spans="1:12">
      <c r="G13" s="467"/>
      <c r="H13" s="468"/>
    </row>
    <row r="14" spans="1:12">
      <c r="A14" s="379" t="s">
        <v>73</v>
      </c>
      <c r="B14" s="385" t="s">
        <v>0</v>
      </c>
      <c r="C14" s="379">
        <v>97</v>
      </c>
      <c r="D14" s="469">
        <f>+D24</f>
        <v>10.46</v>
      </c>
      <c r="E14" s="469">
        <f>+E24</f>
        <v>3.13</v>
      </c>
      <c r="F14" s="469">
        <f>+F24</f>
        <v>6.2643817734874032</v>
      </c>
      <c r="G14" s="470">
        <f>SUM(D14:F14)</f>
        <v>19.854381773487404</v>
      </c>
      <c r="H14" s="471">
        <f>G14*K14*12</f>
        <v>7385.8300197373146</v>
      </c>
      <c r="I14" s="472">
        <f>+'2006 Stlgt Rates'!I14</f>
        <v>18.66</v>
      </c>
      <c r="J14" s="473">
        <f>+G14/I14-1</f>
        <v>6.4007597721725817E-2</v>
      </c>
      <c r="K14" s="409">
        <f>+'Schedule 1'!C9</f>
        <v>31</v>
      </c>
      <c r="L14" s="474">
        <f>ROUND((G14-I14)*K14*12,0)</f>
        <v>444</v>
      </c>
    </row>
    <row r="15" spans="1:12">
      <c r="A15" s="379" t="s">
        <v>74</v>
      </c>
      <c r="B15" s="385" t="s">
        <v>1</v>
      </c>
      <c r="C15" s="379">
        <v>154</v>
      </c>
      <c r="D15" s="475">
        <f>D25</f>
        <v>16.61</v>
      </c>
      <c r="E15" s="415">
        <f>E25</f>
        <v>3.13</v>
      </c>
      <c r="F15" s="415">
        <f>F25</f>
        <v>6.4020051068207353</v>
      </c>
      <c r="G15" s="476">
        <f>SUM(D15:F15)</f>
        <v>26.142005106820733</v>
      </c>
      <c r="H15" s="477">
        <f>G15*K15*12</f>
        <v>941.11218384554638</v>
      </c>
      <c r="I15" s="478">
        <f>+'2006 Stlgt Rates'!I15</f>
        <v>27.06</v>
      </c>
      <c r="J15" s="473">
        <f>+G15/I15-1</f>
        <v>-3.3924423251266322E-2</v>
      </c>
      <c r="K15" s="409">
        <f>+'Schedule 1'!C10</f>
        <v>3</v>
      </c>
      <c r="L15" s="474">
        <f>ROUND((G15-I15)*K15*12,0)</f>
        <v>-33</v>
      </c>
    </row>
    <row r="16" spans="1:12">
      <c r="B16" s="424"/>
      <c r="E16" s="415"/>
      <c r="F16" s="415"/>
      <c r="G16" s="476"/>
      <c r="H16" s="477"/>
    </row>
    <row r="17" spans="1:12">
      <c r="A17" s="421" t="s">
        <v>73</v>
      </c>
      <c r="B17" s="479" t="s">
        <v>500</v>
      </c>
      <c r="C17" s="421">
        <v>97</v>
      </c>
      <c r="D17" s="480">
        <f>+D24</f>
        <v>10.46</v>
      </c>
      <c r="E17" s="428">
        <v>0</v>
      </c>
      <c r="F17" s="428">
        <v>0</v>
      </c>
      <c r="G17" s="481">
        <f>SUM(D17:F17)</f>
        <v>10.46</v>
      </c>
      <c r="H17" s="482">
        <f>G17*K17*12</f>
        <v>878.64</v>
      </c>
      <c r="I17" s="483">
        <f>+'2006 Stlgt Rates'!I119</f>
        <v>13.688639999999999</v>
      </c>
      <c r="J17" s="484">
        <f>+G17/I17-1</f>
        <v>-0.23586272997171365</v>
      </c>
      <c r="K17" s="485">
        <f>+'Schedule 1'!E9</f>
        <v>7</v>
      </c>
      <c r="L17" s="486">
        <f>ROUND((G17-I17)*K17*12,0)</f>
        <v>-271</v>
      </c>
    </row>
    <row r="18" spans="1:12">
      <c r="B18" s="424"/>
      <c r="E18" s="415"/>
      <c r="F18" s="415"/>
      <c r="G18" s="476"/>
      <c r="H18" s="477">
        <f>SUM(H14:H17)</f>
        <v>9205.5822035828605</v>
      </c>
      <c r="K18" s="409">
        <f>SUM(K14:K17)</f>
        <v>41</v>
      </c>
      <c r="L18" s="474">
        <f>SUM(L14:L17)</f>
        <v>140</v>
      </c>
    </row>
    <row r="19" spans="1:12" ht="15.75">
      <c r="A19" s="386" t="s">
        <v>75</v>
      </c>
      <c r="B19" s="387"/>
      <c r="E19" s="415"/>
      <c r="F19" s="415"/>
      <c r="G19" s="476"/>
      <c r="H19" s="477"/>
    </row>
    <row r="20" spans="1:12">
      <c r="B20" s="424"/>
      <c r="E20" s="415"/>
      <c r="F20" s="415"/>
      <c r="G20" s="476"/>
      <c r="H20" s="477"/>
    </row>
    <row r="21" spans="1:12">
      <c r="A21" s="379" t="s">
        <v>12</v>
      </c>
      <c r="B21" s="424">
        <v>100</v>
      </c>
      <c r="C21" s="379">
        <v>43</v>
      </c>
      <c r="D21" s="475">
        <f t="shared" ref="D21:D27" si="0">ROUND(+C21*H$150,2)</f>
        <v>4.6399999999999997</v>
      </c>
      <c r="E21" s="415">
        <f>'Schedule 2'!$H$12</f>
        <v>3.13</v>
      </c>
      <c r="F21" s="415">
        <f>'Schedule 4'!$H17</f>
        <v>5.3067816734874027</v>
      </c>
      <c r="G21" s="476">
        <f t="shared" ref="G21:G28" si="1">SUM(D21:F21)</f>
        <v>13.076781673487403</v>
      </c>
      <c r="H21" s="477">
        <f t="shared" ref="H21:H28" si="2">G21*K21*12</f>
        <v>42211.851242017336</v>
      </c>
      <c r="I21" s="478">
        <f>+'2006 Stlgt Rates'!I19</f>
        <v>10.65</v>
      </c>
      <c r="J21" s="473">
        <f t="shared" ref="J21:J28" si="3">+G21/I21-1</f>
        <v>0.22786682380163414</v>
      </c>
      <c r="K21" s="409">
        <f>+'Schedule 1'!C13</f>
        <v>269</v>
      </c>
      <c r="L21" s="474">
        <f t="shared" ref="L21:L28" si="4">ROUND((G21-I21)*K21*12,0)</f>
        <v>7834</v>
      </c>
    </row>
    <row r="22" spans="1:12">
      <c r="A22" s="379" t="s">
        <v>13</v>
      </c>
      <c r="B22" s="424">
        <v>101</v>
      </c>
      <c r="C22" s="379">
        <v>52</v>
      </c>
      <c r="D22" s="475">
        <f t="shared" si="0"/>
        <v>5.61</v>
      </c>
      <c r="E22" s="415">
        <f>'Schedule 2'!$H$13</f>
        <v>4.17</v>
      </c>
      <c r="F22" s="415">
        <f>'Schedule 4'!$H18</f>
        <v>4.9681626734874031</v>
      </c>
      <c r="G22" s="476">
        <f t="shared" si="1"/>
        <v>14.748162673487403</v>
      </c>
      <c r="H22" s="477">
        <f t="shared" si="2"/>
        <v>2117010.2628030758</v>
      </c>
      <c r="I22" s="478">
        <f>+'2006 Stlgt Rates'!I20</f>
        <v>12.31</v>
      </c>
      <c r="J22" s="473">
        <f t="shared" si="3"/>
        <v>0.19806358029954541</v>
      </c>
      <c r="K22" s="409">
        <f>+'Schedule 1'!C14</f>
        <v>11962</v>
      </c>
      <c r="L22" s="474">
        <f t="shared" si="4"/>
        <v>349984</v>
      </c>
    </row>
    <row r="23" spans="1:12">
      <c r="A23" s="379" t="s">
        <v>14</v>
      </c>
      <c r="B23" s="424">
        <v>102</v>
      </c>
      <c r="C23" s="379">
        <v>69</v>
      </c>
      <c r="D23" s="475">
        <f t="shared" si="0"/>
        <v>7.44</v>
      </c>
      <c r="E23" s="415">
        <f>'Schedule 2'!$H$12</f>
        <v>3.13</v>
      </c>
      <c r="F23" s="415">
        <f>'Schedule 4'!$H19</f>
        <v>4.92032934015407</v>
      </c>
      <c r="G23" s="476">
        <f t="shared" si="1"/>
        <v>15.490329340154069</v>
      </c>
      <c r="H23" s="477">
        <f t="shared" si="2"/>
        <v>585534.44905782386</v>
      </c>
      <c r="I23" s="478">
        <f>+'2006 Stlgt Rates'!I22</f>
        <v>14.5</v>
      </c>
      <c r="J23" s="473">
        <f t="shared" si="3"/>
        <v>6.8298575183039167E-2</v>
      </c>
      <c r="K23" s="409">
        <f>+'Schedule 1'!C15</f>
        <v>3150</v>
      </c>
      <c r="L23" s="474">
        <f t="shared" si="4"/>
        <v>37434</v>
      </c>
    </row>
    <row r="24" spans="1:12">
      <c r="A24" s="379" t="s">
        <v>15</v>
      </c>
      <c r="B24" s="424">
        <v>103</v>
      </c>
      <c r="C24" s="379">
        <v>97</v>
      </c>
      <c r="D24" s="475">
        <f t="shared" si="0"/>
        <v>10.46</v>
      </c>
      <c r="E24" s="415">
        <f>'Schedule 2'!$H$12</f>
        <v>3.13</v>
      </c>
      <c r="F24" s="415">
        <f>'Schedule 4'!$H20</f>
        <v>6.2643817734874032</v>
      </c>
      <c r="G24" s="476">
        <f t="shared" si="1"/>
        <v>19.854381773487404</v>
      </c>
      <c r="H24" s="477">
        <f t="shared" si="2"/>
        <v>273752.21589284431</v>
      </c>
      <c r="I24" s="478">
        <f>+'2006 Stlgt Rates'!I24</f>
        <v>18.52</v>
      </c>
      <c r="J24" s="473">
        <f t="shared" si="3"/>
        <v>7.2050851700183882E-2</v>
      </c>
      <c r="K24" s="409">
        <f>+'Schedule 1'!C16</f>
        <v>1149</v>
      </c>
      <c r="L24" s="474">
        <f t="shared" si="4"/>
        <v>18398</v>
      </c>
    </row>
    <row r="25" spans="1:12">
      <c r="A25" s="379" t="s">
        <v>16</v>
      </c>
      <c r="B25" s="424">
        <v>104</v>
      </c>
      <c r="C25" s="379">
        <v>154</v>
      </c>
      <c r="D25" s="475">
        <f t="shared" si="0"/>
        <v>16.61</v>
      </c>
      <c r="E25" s="415">
        <f>'Schedule 2'!$H$12</f>
        <v>3.13</v>
      </c>
      <c r="F25" s="415">
        <f>'Schedule 4'!$H21</f>
        <v>6.4020051068207353</v>
      </c>
      <c r="G25" s="476">
        <f t="shared" si="1"/>
        <v>26.142005106820733</v>
      </c>
      <c r="H25" s="477">
        <f t="shared" si="2"/>
        <v>465536.82694226364</v>
      </c>
      <c r="I25" s="478">
        <f>+'2006 Stlgt Rates'!I27</f>
        <v>27.02</v>
      </c>
      <c r="J25" s="473">
        <f t="shared" si="3"/>
        <v>-3.24942595551172E-2</v>
      </c>
      <c r="K25" s="409">
        <f>+'Schedule 1'!C17</f>
        <v>1484</v>
      </c>
      <c r="L25" s="474">
        <f t="shared" si="4"/>
        <v>-15635</v>
      </c>
    </row>
    <row r="26" spans="1:12">
      <c r="A26" s="379" t="s">
        <v>17</v>
      </c>
      <c r="B26" s="424">
        <v>105</v>
      </c>
      <c r="C26" s="379">
        <v>260</v>
      </c>
      <c r="D26" s="475">
        <f t="shared" si="0"/>
        <v>28.05</v>
      </c>
      <c r="E26" s="415">
        <f>'Schedule 2'!$H$12</f>
        <v>3.13</v>
      </c>
      <c r="F26" s="415">
        <f>'Schedule 4'!$H22</f>
        <v>8.4292637734874045</v>
      </c>
      <c r="G26" s="476">
        <f t="shared" si="1"/>
        <v>39.609263773487406</v>
      </c>
      <c r="H26" s="477">
        <f t="shared" si="2"/>
        <v>5703.7339833821861</v>
      </c>
      <c r="I26" s="478">
        <f>+'2006 Stlgt Rates'!I29</f>
        <v>50.63</v>
      </c>
      <c r="J26" s="473">
        <f t="shared" si="3"/>
        <v>-0.21767205661687927</v>
      </c>
      <c r="K26" s="409">
        <f>+'Schedule 1'!C18</f>
        <v>12</v>
      </c>
      <c r="L26" s="474">
        <f t="shared" si="4"/>
        <v>-1587</v>
      </c>
    </row>
    <row r="27" spans="1:12">
      <c r="A27" s="379" t="s">
        <v>18</v>
      </c>
      <c r="B27" s="424">
        <v>106</v>
      </c>
      <c r="C27" s="379">
        <v>363</v>
      </c>
      <c r="D27" s="475">
        <f t="shared" si="0"/>
        <v>39.159999999999997</v>
      </c>
      <c r="E27" s="415">
        <f>'Schedule 2'!$H$12</f>
        <v>3.13</v>
      </c>
      <c r="F27" s="415">
        <f>'Schedule 4'!$H23</f>
        <v>10.126991773487402</v>
      </c>
      <c r="G27" s="476">
        <f t="shared" si="1"/>
        <v>52.416991773487403</v>
      </c>
      <c r="H27" s="477">
        <f t="shared" si="2"/>
        <v>47804.29649742051</v>
      </c>
      <c r="I27" s="478">
        <f>+'2006 Stlgt Rates'!I31</f>
        <v>65.33</v>
      </c>
      <c r="J27" s="473">
        <f t="shared" si="3"/>
        <v>-0.19765816970017747</v>
      </c>
      <c r="K27" s="409">
        <f>+'Schedule 1'!C19</f>
        <v>76</v>
      </c>
      <c r="L27" s="474">
        <f t="shared" si="4"/>
        <v>-11777</v>
      </c>
    </row>
    <row r="28" spans="1:12">
      <c r="A28" s="379" t="s">
        <v>19</v>
      </c>
      <c r="B28" s="424">
        <v>107</v>
      </c>
      <c r="C28" s="379">
        <v>213</v>
      </c>
      <c r="D28" s="475">
        <f>ROUND(+C28*H$159,2)</f>
        <v>17.809999999999999</v>
      </c>
      <c r="E28" s="415">
        <f>'Schedule 2'!$H$12*2</f>
        <v>6.26</v>
      </c>
      <c r="F28" s="415">
        <f>'Schedule 4'!$H24</f>
        <v>6.2643817734874032</v>
      </c>
      <c r="G28" s="476">
        <f t="shared" si="1"/>
        <v>30.334381773487404</v>
      </c>
      <c r="H28" s="477">
        <f t="shared" si="2"/>
        <v>1820.0629064092443</v>
      </c>
      <c r="I28" s="478">
        <f>+'2006 Stlgt Rates'!I25</f>
        <v>28.3</v>
      </c>
      <c r="J28" s="473">
        <f t="shared" si="3"/>
        <v>7.1886281748671399E-2</v>
      </c>
      <c r="K28" s="409">
        <f>+'Schedule 1'!C20</f>
        <v>5</v>
      </c>
      <c r="L28" s="474">
        <f t="shared" si="4"/>
        <v>122</v>
      </c>
    </row>
    <row r="29" spans="1:12">
      <c r="B29" s="424"/>
      <c r="E29" s="415"/>
      <c r="F29" s="415"/>
      <c r="G29" s="476"/>
      <c r="H29" s="477"/>
    </row>
    <row r="30" spans="1:12">
      <c r="A30" s="379" t="s">
        <v>13</v>
      </c>
      <c r="B30" s="424">
        <v>201</v>
      </c>
      <c r="C30" s="379">
        <v>52</v>
      </c>
      <c r="D30" s="475">
        <f t="shared" ref="D30:D35" si="5">ROUND(+C30*H$150,2)</f>
        <v>5.61</v>
      </c>
      <c r="E30" s="415">
        <f>'Schedule 2'!$H$13</f>
        <v>4.17</v>
      </c>
      <c r="F30" s="415">
        <v>0</v>
      </c>
      <c r="G30" s="476">
        <f t="shared" ref="G30:G35" si="6">SUM(D30:F30)</f>
        <v>9.7800000000000011</v>
      </c>
      <c r="H30" s="477">
        <f t="shared" ref="H30:H35" si="7">G30*K30*12</f>
        <v>1056.2400000000002</v>
      </c>
      <c r="I30" s="478">
        <f>+'2006 Stlgt Rates'!I21</f>
        <v>8.89</v>
      </c>
      <c r="J30" s="473">
        <f t="shared" ref="J30:J35" si="8">+G30/I30-1</f>
        <v>0.1001124859392577</v>
      </c>
      <c r="K30" s="409">
        <f>+'Schedule 1'!D14</f>
        <v>9</v>
      </c>
      <c r="L30" s="474">
        <f t="shared" ref="L30:L35" si="9">ROUND((G30-I30)*K30*12,0)</f>
        <v>96</v>
      </c>
    </row>
    <row r="31" spans="1:12">
      <c r="A31" s="379" t="s">
        <v>14</v>
      </c>
      <c r="B31" s="424">
        <v>202</v>
      </c>
      <c r="C31" s="379">
        <v>69</v>
      </c>
      <c r="D31" s="475">
        <f t="shared" si="5"/>
        <v>7.44</v>
      </c>
      <c r="E31" s="415">
        <f>'Schedule 2'!$H$12</f>
        <v>3.13</v>
      </c>
      <c r="F31" s="415">
        <v>0</v>
      </c>
      <c r="G31" s="476">
        <f t="shared" si="6"/>
        <v>10.57</v>
      </c>
      <c r="H31" s="477">
        <f t="shared" si="7"/>
        <v>3044.16</v>
      </c>
      <c r="I31" s="478">
        <f>+'2006 Stlgt Rates'!I23</f>
        <v>10.93</v>
      </c>
      <c r="J31" s="473">
        <f t="shared" si="8"/>
        <v>-3.2936870997255174E-2</v>
      </c>
      <c r="K31" s="409">
        <f>+'Schedule 1'!D15</f>
        <v>24</v>
      </c>
      <c r="L31" s="474">
        <f t="shared" si="9"/>
        <v>-104</v>
      </c>
    </row>
    <row r="32" spans="1:12">
      <c r="A32" s="379" t="s">
        <v>15</v>
      </c>
      <c r="B32" s="424">
        <v>203</v>
      </c>
      <c r="C32" s="379">
        <v>97</v>
      </c>
      <c r="D32" s="475">
        <f t="shared" si="5"/>
        <v>10.46</v>
      </c>
      <c r="E32" s="415">
        <f>'Schedule 2'!$H$12</f>
        <v>3.13</v>
      </c>
      <c r="F32" s="415">
        <v>0</v>
      </c>
      <c r="G32" s="476">
        <f t="shared" si="6"/>
        <v>13.59</v>
      </c>
      <c r="H32" s="477">
        <f t="shared" si="7"/>
        <v>5544.72</v>
      </c>
      <c r="I32" s="478">
        <f>+'2006 Stlgt Rates'!I26</f>
        <v>14.85</v>
      </c>
      <c r="J32" s="473">
        <f t="shared" si="8"/>
        <v>-8.484848484848484E-2</v>
      </c>
      <c r="K32" s="409">
        <f>+'Schedule 1'!D16</f>
        <v>34</v>
      </c>
      <c r="L32" s="474">
        <f t="shared" si="9"/>
        <v>-514</v>
      </c>
    </row>
    <row r="33" spans="1:12">
      <c r="A33" s="379" t="s">
        <v>16</v>
      </c>
      <c r="B33" s="424">
        <v>204</v>
      </c>
      <c r="C33" s="379">
        <v>154</v>
      </c>
      <c r="D33" s="475">
        <f t="shared" si="5"/>
        <v>16.61</v>
      </c>
      <c r="E33" s="415">
        <f>'Schedule 2'!$H$12</f>
        <v>3.13</v>
      </c>
      <c r="F33" s="415">
        <v>0</v>
      </c>
      <c r="G33" s="476">
        <f t="shared" si="6"/>
        <v>19.739999999999998</v>
      </c>
      <c r="H33" s="477">
        <f t="shared" si="7"/>
        <v>2368.7999999999997</v>
      </c>
      <c r="I33" s="478">
        <f>+'2006 Stlgt Rates'!I28</f>
        <v>22.91</v>
      </c>
      <c r="J33" s="473">
        <f t="shared" si="8"/>
        <v>-0.13836752509821049</v>
      </c>
      <c r="K33" s="409">
        <f>+'Schedule 1'!D17</f>
        <v>10</v>
      </c>
      <c r="L33" s="474">
        <f t="shared" si="9"/>
        <v>-380</v>
      </c>
    </row>
    <row r="34" spans="1:12">
      <c r="A34" s="379" t="s">
        <v>17</v>
      </c>
      <c r="B34" s="424">
        <v>205</v>
      </c>
      <c r="C34" s="379">
        <v>260</v>
      </c>
      <c r="D34" s="475">
        <f t="shared" si="5"/>
        <v>28.05</v>
      </c>
      <c r="E34" s="415">
        <f>'Schedule 2'!$H$12</f>
        <v>3.13</v>
      </c>
      <c r="F34" s="415">
        <v>0</v>
      </c>
      <c r="G34" s="476">
        <f t="shared" si="6"/>
        <v>31.18</v>
      </c>
      <c r="H34" s="477">
        <f t="shared" si="7"/>
        <v>0</v>
      </c>
      <c r="I34" s="478">
        <f>+'2006 Stlgt Rates'!I30</f>
        <v>37.86</v>
      </c>
      <c r="J34" s="473">
        <f t="shared" si="8"/>
        <v>-0.17643951399894342</v>
      </c>
      <c r="K34" s="409">
        <f>+'Schedule 1'!D18</f>
        <v>0</v>
      </c>
      <c r="L34" s="474">
        <f t="shared" si="9"/>
        <v>0</v>
      </c>
    </row>
    <row r="35" spans="1:12">
      <c r="A35" s="379" t="s">
        <v>18</v>
      </c>
      <c r="B35" s="424">
        <v>206</v>
      </c>
      <c r="C35" s="379">
        <v>363</v>
      </c>
      <c r="D35" s="475">
        <f t="shared" si="5"/>
        <v>39.159999999999997</v>
      </c>
      <c r="E35" s="415">
        <f>'Schedule 2'!$H$12</f>
        <v>3.13</v>
      </c>
      <c r="F35" s="415">
        <v>0</v>
      </c>
      <c r="G35" s="476">
        <f t="shared" si="6"/>
        <v>42.29</v>
      </c>
      <c r="H35" s="477">
        <f t="shared" si="7"/>
        <v>8627.16</v>
      </c>
      <c r="I35" s="478">
        <f>+'2006 Stlgt Rates'!I32</f>
        <v>52.4</v>
      </c>
      <c r="J35" s="473">
        <f t="shared" si="8"/>
        <v>-0.19293893129770989</v>
      </c>
      <c r="K35" s="409">
        <f>+'Schedule 1'!D19</f>
        <v>17</v>
      </c>
      <c r="L35" s="474">
        <f t="shared" si="9"/>
        <v>-2062</v>
      </c>
    </row>
    <row r="36" spans="1:12">
      <c r="B36" s="424"/>
      <c r="E36" s="415"/>
      <c r="F36" s="415"/>
      <c r="G36" s="476"/>
      <c r="H36" s="477"/>
    </row>
    <row r="37" spans="1:12">
      <c r="A37" s="421" t="s">
        <v>13</v>
      </c>
      <c r="B37" s="487">
        <v>301</v>
      </c>
      <c r="C37" s="421">
        <v>52</v>
      </c>
      <c r="D37" s="480">
        <f t="shared" ref="D37:D42" si="10">ROUND(+C37*H$150,2)</f>
        <v>5.61</v>
      </c>
      <c r="E37" s="428">
        <v>0</v>
      </c>
      <c r="F37" s="428">
        <v>0</v>
      </c>
      <c r="G37" s="481">
        <f t="shared" ref="G37:G42" si="11">SUM(D37:F37)</f>
        <v>5.61</v>
      </c>
      <c r="H37" s="488">
        <f t="shared" ref="H37:H42" si="12">G37*K37*12</f>
        <v>740.52</v>
      </c>
      <c r="I37" s="489">
        <f>+'2006 Stlgt Rates'!F123</f>
        <v>5.5958240000000004</v>
      </c>
      <c r="J37" s="484">
        <f t="shared" ref="J37:J42" si="13">+G37/I37-1</f>
        <v>2.5333177026296561E-3</v>
      </c>
      <c r="K37" s="412">
        <f>+'Schedule 1'!E14</f>
        <v>11</v>
      </c>
      <c r="L37" s="490">
        <f t="shared" ref="L37:L42" si="14">ROUND((G37-I37)*K37*12,0)</f>
        <v>2</v>
      </c>
    </row>
    <row r="38" spans="1:12">
      <c r="A38" s="421" t="s">
        <v>14</v>
      </c>
      <c r="B38" s="487">
        <v>302</v>
      </c>
      <c r="C38" s="421">
        <v>69</v>
      </c>
      <c r="D38" s="480">
        <f t="shared" si="10"/>
        <v>7.44</v>
      </c>
      <c r="E38" s="428">
        <v>0</v>
      </c>
      <c r="F38" s="428">
        <v>0</v>
      </c>
      <c r="G38" s="481">
        <f t="shared" si="11"/>
        <v>7.44</v>
      </c>
      <c r="H38" s="488">
        <f t="shared" si="12"/>
        <v>13659.840000000002</v>
      </c>
      <c r="I38" s="489">
        <f>+'2006 Stlgt Rates'!F124</f>
        <v>7.4309760000000002</v>
      </c>
      <c r="J38" s="484">
        <f t="shared" si="13"/>
        <v>1.2143761465519542E-3</v>
      </c>
      <c r="K38" s="412">
        <f>+'Schedule 1'!E15</f>
        <v>153</v>
      </c>
      <c r="L38" s="490">
        <f t="shared" si="14"/>
        <v>17</v>
      </c>
    </row>
    <row r="39" spans="1:12">
      <c r="A39" s="421" t="s">
        <v>15</v>
      </c>
      <c r="B39" s="487">
        <v>303</v>
      </c>
      <c r="C39" s="421">
        <v>97</v>
      </c>
      <c r="D39" s="480">
        <f t="shared" si="10"/>
        <v>10.46</v>
      </c>
      <c r="E39" s="428">
        <v>0</v>
      </c>
      <c r="F39" s="428">
        <v>0</v>
      </c>
      <c r="G39" s="481">
        <f t="shared" si="11"/>
        <v>10.46</v>
      </c>
      <c r="H39" s="488">
        <f t="shared" si="12"/>
        <v>6778.08</v>
      </c>
      <c r="I39" s="489">
        <f>+'2006 Stlgt Rates'!F125</f>
        <v>10.462032000000001</v>
      </c>
      <c r="J39" s="484">
        <f t="shared" si="13"/>
        <v>-1.9422613121422572E-4</v>
      </c>
      <c r="K39" s="412">
        <f>+'Schedule 1'!E16</f>
        <v>54</v>
      </c>
      <c r="L39" s="490">
        <f t="shared" si="14"/>
        <v>-1</v>
      </c>
    </row>
    <row r="40" spans="1:12">
      <c r="A40" s="421" t="s">
        <v>16</v>
      </c>
      <c r="B40" s="487">
        <v>304</v>
      </c>
      <c r="C40" s="421">
        <v>154</v>
      </c>
      <c r="D40" s="480">
        <f t="shared" si="10"/>
        <v>16.61</v>
      </c>
      <c r="E40" s="428">
        <v>0</v>
      </c>
      <c r="F40" s="428">
        <v>0</v>
      </c>
      <c r="G40" s="481">
        <f t="shared" si="11"/>
        <v>16.61</v>
      </c>
      <c r="H40" s="488">
        <f t="shared" si="12"/>
        <v>3189.12</v>
      </c>
      <c r="I40" s="489">
        <f>+'2006 Stlgt Rates'!F126</f>
        <v>16.611055999999998</v>
      </c>
      <c r="J40" s="484">
        <f t="shared" si="13"/>
        <v>-6.3572117269261597E-5</v>
      </c>
      <c r="K40" s="412">
        <f>+'Schedule 1'!E17</f>
        <v>16</v>
      </c>
      <c r="L40" s="490">
        <f t="shared" si="14"/>
        <v>0</v>
      </c>
    </row>
    <row r="41" spans="1:12">
      <c r="A41" s="421" t="s">
        <v>17</v>
      </c>
      <c r="B41" s="487">
        <v>305</v>
      </c>
      <c r="C41" s="421">
        <v>260</v>
      </c>
      <c r="D41" s="480">
        <f t="shared" si="10"/>
        <v>28.05</v>
      </c>
      <c r="E41" s="428">
        <v>0</v>
      </c>
      <c r="F41" s="428">
        <v>0</v>
      </c>
      <c r="G41" s="481">
        <f t="shared" si="11"/>
        <v>28.05</v>
      </c>
      <c r="H41" s="488">
        <f t="shared" si="12"/>
        <v>336.6</v>
      </c>
      <c r="I41" s="489">
        <f>+'2006 Stlgt Rates'!F127</f>
        <v>28.040848</v>
      </c>
      <c r="J41" s="484">
        <f t="shared" si="13"/>
        <v>3.2638099960458078E-4</v>
      </c>
      <c r="K41" s="412">
        <f>+'Schedule 1'!E18</f>
        <v>1</v>
      </c>
      <c r="L41" s="490">
        <f t="shared" si="14"/>
        <v>0</v>
      </c>
    </row>
    <row r="42" spans="1:12">
      <c r="A42" s="421" t="s">
        <v>18</v>
      </c>
      <c r="B42" s="487">
        <v>306</v>
      </c>
      <c r="C42" s="421">
        <v>363</v>
      </c>
      <c r="D42" s="480">
        <f t="shared" si="10"/>
        <v>39.159999999999997</v>
      </c>
      <c r="E42" s="428">
        <v>0</v>
      </c>
      <c r="F42" s="428">
        <v>0</v>
      </c>
      <c r="G42" s="481">
        <f t="shared" si="11"/>
        <v>39.159999999999997</v>
      </c>
      <c r="H42" s="482">
        <f t="shared" si="12"/>
        <v>3289.44</v>
      </c>
      <c r="I42" s="489">
        <f>+'2006 Stlgt Rates'!F128</f>
        <v>39.164719999999996</v>
      </c>
      <c r="J42" s="484">
        <f t="shared" si="13"/>
        <v>-1.2051662823064913E-4</v>
      </c>
      <c r="K42" s="485">
        <f>+'Schedule 1'!E19</f>
        <v>7</v>
      </c>
      <c r="L42" s="486">
        <f t="shared" si="14"/>
        <v>0</v>
      </c>
    </row>
    <row r="43" spans="1:12">
      <c r="B43" s="424"/>
      <c r="E43" s="415"/>
      <c r="F43" s="415"/>
      <c r="G43" s="476"/>
      <c r="H43" s="477">
        <f>SUM(H21:H42)</f>
        <v>3588008.3793252376</v>
      </c>
      <c r="K43" s="409">
        <f>SUM(K21:K42)</f>
        <v>18443</v>
      </c>
      <c r="L43" s="474">
        <f>SUM(L21:L42)</f>
        <v>381827</v>
      </c>
    </row>
    <row r="44" spans="1:12" ht="15.75">
      <c r="A44" s="386" t="s">
        <v>76</v>
      </c>
      <c r="B44" s="387"/>
      <c r="E44" s="415"/>
      <c r="F44" s="415"/>
      <c r="G44" s="476"/>
      <c r="H44" s="477"/>
    </row>
    <row r="45" spans="1:12">
      <c r="B45" s="424"/>
      <c r="E45" s="415"/>
      <c r="F45" s="415"/>
      <c r="G45" s="476"/>
      <c r="H45" s="477"/>
    </row>
    <row r="46" spans="1:12">
      <c r="A46" s="379" t="s">
        <v>20</v>
      </c>
      <c r="B46" s="424">
        <v>110</v>
      </c>
      <c r="C46" s="379">
        <v>30</v>
      </c>
      <c r="D46" s="475">
        <f t="shared" ref="D46:D52" si="15">ROUND(+C46*H$150,2)</f>
        <v>3.24</v>
      </c>
      <c r="E46" s="415">
        <f>'Schedule 2'!$H$14</f>
        <v>6.25</v>
      </c>
      <c r="F46" s="415">
        <f>'Schedule 4'!$H25</f>
        <v>4.2985534068207363</v>
      </c>
      <c r="G46" s="476">
        <f t="shared" ref="G46:G52" si="16">SUM(D46:F46)</f>
        <v>13.788553406820736</v>
      </c>
      <c r="H46" s="477">
        <f t="shared" ref="H46:H52" si="17">G46*K46*12</f>
        <v>151067.39112512796</v>
      </c>
      <c r="I46" s="478">
        <f>+'2006 Stlgt Rates'!I38</f>
        <v>10.199999999999999</v>
      </c>
      <c r="J46" s="473">
        <f t="shared" ref="J46:J52" si="18">+G46/I46-1</f>
        <v>0.35181896145301339</v>
      </c>
      <c r="K46" s="409">
        <f>+'Schedule 1'!C23</f>
        <v>913</v>
      </c>
      <c r="L46" s="474">
        <f t="shared" ref="L46:L52" si="19">ROUND((G46-I46)*K46*12,0)</f>
        <v>39316</v>
      </c>
    </row>
    <row r="47" spans="1:12">
      <c r="A47" s="379" t="s">
        <v>21</v>
      </c>
      <c r="B47" s="424">
        <v>111</v>
      </c>
      <c r="C47" s="379">
        <v>85</v>
      </c>
      <c r="D47" s="475">
        <f t="shared" si="15"/>
        <v>9.17</v>
      </c>
      <c r="E47" s="415">
        <f>'Schedule 2'!$H$14</f>
        <v>6.25</v>
      </c>
      <c r="F47" s="415">
        <f>'Schedule 4'!$H26</f>
        <v>4.733665906820737</v>
      </c>
      <c r="G47" s="476">
        <f t="shared" si="16"/>
        <v>20.153665906820738</v>
      </c>
      <c r="H47" s="477">
        <f t="shared" si="17"/>
        <v>37002.130604922873</v>
      </c>
      <c r="I47" s="478">
        <f>+'2006 Stlgt Rates'!I40</f>
        <v>18.54</v>
      </c>
      <c r="J47" s="473">
        <f t="shared" si="18"/>
        <v>8.7036996052898497E-2</v>
      </c>
      <c r="K47" s="409">
        <f>+'Schedule 1'!C24</f>
        <v>153</v>
      </c>
      <c r="L47" s="474">
        <f t="shared" si="19"/>
        <v>2963</v>
      </c>
    </row>
    <row r="48" spans="1:12">
      <c r="A48" s="379" t="s">
        <v>22</v>
      </c>
      <c r="B48" s="424">
        <v>112</v>
      </c>
      <c r="C48" s="379">
        <v>116</v>
      </c>
      <c r="D48" s="475">
        <f t="shared" si="15"/>
        <v>12.51</v>
      </c>
      <c r="E48" s="415">
        <f>'Schedule 2'!$H$14</f>
        <v>6.25</v>
      </c>
      <c r="F48" s="415">
        <f>'Schedule 4'!$H27</f>
        <v>5.5333367401540698</v>
      </c>
      <c r="G48" s="476">
        <f t="shared" si="16"/>
        <v>24.293336740154068</v>
      </c>
      <c r="H48" s="477">
        <f t="shared" si="17"/>
        <v>19823.362779965719</v>
      </c>
      <c r="I48" s="478">
        <f>+'2006 Stlgt Rates'!I46</f>
        <v>23.99</v>
      </c>
      <c r="J48" s="473">
        <f t="shared" si="18"/>
        <v>1.2644299297793538E-2</v>
      </c>
      <c r="K48" s="409">
        <f>+'Schedule 1'!C25</f>
        <v>68</v>
      </c>
      <c r="L48" s="474">
        <f t="shared" si="19"/>
        <v>248</v>
      </c>
    </row>
    <row r="49" spans="1:12">
      <c r="A49" s="379" t="s">
        <v>23</v>
      </c>
      <c r="B49" s="424">
        <v>113</v>
      </c>
      <c r="C49" s="379">
        <v>222</v>
      </c>
      <c r="D49" s="475">
        <f t="shared" si="15"/>
        <v>23.95</v>
      </c>
      <c r="E49" s="415">
        <f>'Schedule 2'!$H$14</f>
        <v>6.25</v>
      </c>
      <c r="F49" s="415">
        <f>'Schedule 4'!$H28</f>
        <v>7.4979200734874043</v>
      </c>
      <c r="G49" s="476">
        <f t="shared" si="16"/>
        <v>37.697920073487403</v>
      </c>
      <c r="H49" s="477">
        <f t="shared" si="17"/>
        <v>6785.6256132277331</v>
      </c>
      <c r="I49" s="478">
        <f>+'2006 Stlgt Rates'!I47</f>
        <v>41.61</v>
      </c>
      <c r="J49" s="473">
        <f t="shared" si="18"/>
        <v>-9.4017782420394047E-2</v>
      </c>
      <c r="K49" s="409">
        <f>+'Schedule 1'!C26</f>
        <v>15</v>
      </c>
      <c r="L49" s="474">
        <f t="shared" si="19"/>
        <v>-704</v>
      </c>
    </row>
    <row r="50" spans="1:12">
      <c r="A50" s="379" t="s">
        <v>24</v>
      </c>
      <c r="B50" s="424">
        <v>114</v>
      </c>
      <c r="C50" s="379">
        <v>47</v>
      </c>
      <c r="D50" s="475">
        <f t="shared" si="15"/>
        <v>5.07</v>
      </c>
      <c r="E50" s="415">
        <f>'Schedule 2'!$H$14</f>
        <v>6.25</v>
      </c>
      <c r="F50" s="415">
        <f>'Schedule 4'!$H29</f>
        <v>5.2135367401540691</v>
      </c>
      <c r="G50" s="476">
        <f t="shared" si="16"/>
        <v>16.533536740154069</v>
      </c>
      <c r="H50" s="477">
        <f t="shared" si="17"/>
        <v>992.01220440924408</v>
      </c>
      <c r="I50" s="478">
        <f>+'2006 Stlgt Rates'!I49</f>
        <v>13.83</v>
      </c>
      <c r="J50" s="473">
        <f t="shared" si="18"/>
        <v>0.19548349531121256</v>
      </c>
      <c r="K50" s="409">
        <f>+'Schedule 1'!C27</f>
        <v>5</v>
      </c>
      <c r="L50" s="474">
        <f t="shared" si="19"/>
        <v>162</v>
      </c>
    </row>
    <row r="51" spans="1:12">
      <c r="A51" s="379" t="s">
        <v>25</v>
      </c>
      <c r="B51" s="424">
        <v>115</v>
      </c>
      <c r="C51" s="379">
        <v>60</v>
      </c>
      <c r="D51" s="475">
        <f t="shared" si="15"/>
        <v>6.47</v>
      </c>
      <c r="E51" s="415">
        <f>'Schedule 2'!$H$14</f>
        <v>6.25</v>
      </c>
      <c r="F51" s="415">
        <f>'Schedule 4'!$H30</f>
        <v>4.5510450734874031</v>
      </c>
      <c r="G51" s="476">
        <f t="shared" si="16"/>
        <v>17.2710450734874</v>
      </c>
      <c r="H51" s="477">
        <f t="shared" si="17"/>
        <v>414.5050817636976</v>
      </c>
      <c r="I51" s="478">
        <f>+'2006 Stlgt Rates'!I44</f>
        <v>14.74</v>
      </c>
      <c r="J51" s="473">
        <f t="shared" si="18"/>
        <v>0.17171269155274094</v>
      </c>
      <c r="K51" s="409">
        <f>+'Schedule 1'!C28</f>
        <v>2</v>
      </c>
      <c r="L51" s="474">
        <f t="shared" si="19"/>
        <v>61</v>
      </c>
    </row>
    <row r="52" spans="1:12">
      <c r="A52" s="379" t="s">
        <v>26</v>
      </c>
      <c r="B52" s="424">
        <v>116</v>
      </c>
      <c r="C52" s="379">
        <v>166</v>
      </c>
      <c r="D52" s="475">
        <f t="shared" si="15"/>
        <v>17.91</v>
      </c>
      <c r="E52" s="415">
        <f>'Schedule 2'!$H$14</f>
        <v>6.25</v>
      </c>
      <c r="F52" s="415">
        <f>'Schedule 4'!$H31</f>
        <v>5.707415906820736</v>
      </c>
      <c r="G52" s="476">
        <f t="shared" si="16"/>
        <v>29.867415906820735</v>
      </c>
      <c r="H52" s="491">
        <f t="shared" si="17"/>
        <v>716.81798176369762</v>
      </c>
      <c r="I52" s="478">
        <f>+'2006 Stlgt Rates'!I42</f>
        <v>31.28</v>
      </c>
      <c r="J52" s="473">
        <f t="shared" si="18"/>
        <v>-4.5159338017239925E-2</v>
      </c>
      <c r="K52" s="397">
        <f>+'Schedule 1'!C29</f>
        <v>2</v>
      </c>
      <c r="L52" s="492">
        <f t="shared" si="19"/>
        <v>-34</v>
      </c>
    </row>
    <row r="53" spans="1:12">
      <c r="B53" s="424"/>
      <c r="E53" s="415"/>
      <c r="F53" s="415"/>
      <c r="G53" s="476"/>
      <c r="H53" s="477">
        <f>SUM(H46:H52)</f>
        <v>216801.84539118092</v>
      </c>
      <c r="K53" s="409">
        <f>SUM(K46:K52)</f>
        <v>1158</v>
      </c>
      <c r="L53" s="474">
        <f>SUM(L46:L52)</f>
        <v>42012</v>
      </c>
    </row>
    <row r="54" spans="1:12">
      <c r="B54" s="424"/>
      <c r="E54" s="415"/>
      <c r="F54" s="415"/>
      <c r="G54" s="476"/>
      <c r="H54" s="477"/>
      <c r="K54" s="409"/>
    </row>
    <row r="55" spans="1:12">
      <c r="A55" s="379" t="s">
        <v>23</v>
      </c>
      <c r="B55" s="424">
        <v>213</v>
      </c>
      <c r="C55" s="379">
        <v>222</v>
      </c>
      <c r="D55" s="475">
        <f t="shared" ref="D55:D60" si="20">ROUND(+C55*H$150,2)</f>
        <v>23.95</v>
      </c>
      <c r="E55" s="415">
        <f>'Schedule 2'!$H$14</f>
        <v>6.25</v>
      </c>
      <c r="F55" s="415">
        <v>0</v>
      </c>
      <c r="G55" s="476">
        <f t="shared" ref="G55:G60" si="21">SUM(D55:F55)</f>
        <v>30.2</v>
      </c>
      <c r="H55" s="477">
        <f t="shared" ref="H55:H60" si="22">G55*K55*12</f>
        <v>0</v>
      </c>
      <c r="I55" s="478">
        <f>+'2006 Stlgt Rates'!I48</f>
        <v>33.17</v>
      </c>
      <c r="J55" s="473">
        <f t="shared" ref="J55:J60" si="23">+G55/I55-1</f>
        <v>-8.9538739825143265E-2</v>
      </c>
      <c r="K55" s="409">
        <f>+'Schedule 1'!D26</f>
        <v>0</v>
      </c>
      <c r="L55" s="474">
        <f t="shared" ref="L55:L60" si="24">ROUND((G55-I55)*K55*12,0)</f>
        <v>0</v>
      </c>
    </row>
    <row r="56" spans="1:12">
      <c r="A56" s="379" t="s">
        <v>24</v>
      </c>
      <c r="B56" s="424">
        <v>214</v>
      </c>
      <c r="C56" s="379">
        <v>47</v>
      </c>
      <c r="D56" s="475">
        <f t="shared" si="20"/>
        <v>5.07</v>
      </c>
      <c r="E56" s="415">
        <f>'Schedule 2'!$H$14</f>
        <v>6.25</v>
      </c>
      <c r="F56" s="415">
        <v>0</v>
      </c>
      <c r="G56" s="476">
        <f t="shared" si="21"/>
        <v>11.32</v>
      </c>
      <c r="H56" s="477">
        <f t="shared" si="22"/>
        <v>3531.84</v>
      </c>
      <c r="I56" s="478">
        <f>+'2006 Stlgt Rates'!I50</f>
        <v>8.48</v>
      </c>
      <c r="J56" s="473">
        <f t="shared" si="23"/>
        <v>0.33490566037735836</v>
      </c>
      <c r="K56" s="409">
        <f>+'Schedule 1'!D27</f>
        <v>26</v>
      </c>
      <c r="L56" s="474">
        <f t="shared" si="24"/>
        <v>886</v>
      </c>
    </row>
    <row r="57" spans="1:12">
      <c r="A57" s="379" t="s">
        <v>25</v>
      </c>
      <c r="B57" s="424">
        <v>215</v>
      </c>
      <c r="C57" s="379">
        <v>60</v>
      </c>
      <c r="D57" s="475">
        <f t="shared" si="20"/>
        <v>6.47</v>
      </c>
      <c r="E57" s="415">
        <f>'Schedule 2'!$H$14</f>
        <v>6.25</v>
      </c>
      <c r="F57" s="415">
        <v>0</v>
      </c>
      <c r="G57" s="476">
        <f t="shared" si="21"/>
        <v>12.719999999999999</v>
      </c>
      <c r="H57" s="477">
        <f t="shared" si="22"/>
        <v>457.91999999999996</v>
      </c>
      <c r="I57" s="478">
        <f>+'2006 Stlgt Rates'!I45</f>
        <v>10.35</v>
      </c>
      <c r="J57" s="473">
        <f t="shared" si="23"/>
        <v>0.22898550724637667</v>
      </c>
      <c r="K57" s="409">
        <f>+'Schedule 1'!D28</f>
        <v>3</v>
      </c>
      <c r="L57" s="474">
        <f t="shared" si="24"/>
        <v>85</v>
      </c>
    </row>
    <row r="58" spans="1:12">
      <c r="A58" s="421" t="s">
        <v>26</v>
      </c>
      <c r="B58" s="487">
        <v>216</v>
      </c>
      <c r="C58" s="421">
        <v>166</v>
      </c>
      <c r="D58" s="480">
        <f t="shared" si="20"/>
        <v>17.91</v>
      </c>
      <c r="E58" s="428">
        <f>'Schedule 2'!$H$14</f>
        <v>6.25</v>
      </c>
      <c r="F58" s="428">
        <v>0</v>
      </c>
      <c r="G58" s="481">
        <f t="shared" si="21"/>
        <v>24.16</v>
      </c>
      <c r="H58" s="493">
        <f t="shared" si="22"/>
        <v>0</v>
      </c>
      <c r="I58" s="489">
        <f>+'2006 Stlgt Rates'!I43</f>
        <v>25.31</v>
      </c>
      <c r="J58" s="484">
        <f t="shared" si="23"/>
        <v>-4.5436586329513973E-2</v>
      </c>
      <c r="K58" s="412">
        <f>+'Schedule 1'!D29</f>
        <v>0</v>
      </c>
      <c r="L58" s="490">
        <f t="shared" si="24"/>
        <v>0</v>
      </c>
    </row>
    <row r="59" spans="1:12">
      <c r="A59" s="379" t="s">
        <v>649</v>
      </c>
      <c r="B59" s="424">
        <v>217</v>
      </c>
      <c r="C59" s="379">
        <v>49</v>
      </c>
      <c r="D59" s="475">
        <f t="shared" si="20"/>
        <v>5.29</v>
      </c>
      <c r="E59" s="415">
        <f>'Schedule 2'!$H$14</f>
        <v>6.25</v>
      </c>
      <c r="F59" s="415">
        <v>0</v>
      </c>
      <c r="G59" s="476">
        <f t="shared" si="21"/>
        <v>11.54</v>
      </c>
      <c r="H59" s="477">
        <f t="shared" si="22"/>
        <v>138.47999999999999</v>
      </c>
      <c r="I59" s="478">
        <f>+'2006 Stlgt Rates'!I39</f>
        <v>8.7799999999999994</v>
      </c>
      <c r="J59" s="473">
        <f t="shared" si="23"/>
        <v>0.31435079726651471</v>
      </c>
      <c r="K59" s="409">
        <f>+'Schedule 1'!D30</f>
        <v>1</v>
      </c>
      <c r="L59" s="474">
        <f t="shared" si="24"/>
        <v>33</v>
      </c>
    </row>
    <row r="60" spans="1:12">
      <c r="A60" s="379" t="s">
        <v>21</v>
      </c>
      <c r="B60" s="424">
        <v>218</v>
      </c>
      <c r="C60" s="379">
        <v>85</v>
      </c>
      <c r="D60" s="475">
        <f t="shared" si="20"/>
        <v>9.17</v>
      </c>
      <c r="E60" s="415">
        <f>'Schedule 2'!$H$14</f>
        <v>6.25</v>
      </c>
      <c r="F60" s="415">
        <v>0</v>
      </c>
      <c r="G60" s="476">
        <f t="shared" si="21"/>
        <v>15.42</v>
      </c>
      <c r="H60" s="477">
        <f t="shared" si="22"/>
        <v>0</v>
      </c>
      <c r="I60" s="478">
        <f>+'2006 Stlgt Rates'!I41</f>
        <v>13.85</v>
      </c>
      <c r="J60" s="473">
        <f t="shared" si="23"/>
        <v>0.11335740072202172</v>
      </c>
      <c r="K60" s="409">
        <f>+'Schedule 1'!D31</f>
        <v>0</v>
      </c>
      <c r="L60" s="474">
        <f t="shared" si="24"/>
        <v>0</v>
      </c>
    </row>
    <row r="61" spans="1:12">
      <c r="B61" s="424"/>
      <c r="D61" s="475"/>
      <c r="E61" s="415"/>
      <c r="F61" s="415"/>
      <c r="G61" s="476"/>
      <c r="H61" s="477"/>
      <c r="I61" s="478"/>
      <c r="J61" s="473"/>
      <c r="K61" s="409"/>
    </row>
    <row r="62" spans="1:12">
      <c r="A62" s="421" t="s">
        <v>110</v>
      </c>
      <c r="B62" s="494">
        <v>330</v>
      </c>
      <c r="C62" s="421">
        <v>47</v>
      </c>
      <c r="D62" s="480">
        <f>ROUND(+C62*H$150,2)</f>
        <v>5.07</v>
      </c>
      <c r="E62" s="428">
        <v>0</v>
      </c>
      <c r="F62" s="428">
        <v>0</v>
      </c>
      <c r="G62" s="495">
        <f>SUM(D62:F62)</f>
        <v>5.07</v>
      </c>
      <c r="H62" s="496">
        <f>G62*K62*12</f>
        <v>121.68</v>
      </c>
      <c r="I62" s="489">
        <f>+'2006 Stlgt Rates'!I134</f>
        <v>5.0617600000000005</v>
      </c>
      <c r="J62" s="484">
        <f>+G62/I62-1</f>
        <v>1.6278922746237878E-3</v>
      </c>
      <c r="K62" s="485">
        <f>+'Schedule 1'!E32</f>
        <v>2</v>
      </c>
      <c r="L62" s="486">
        <f>ROUND((G62-I62)*K62*12,0)</f>
        <v>0</v>
      </c>
    </row>
    <row r="63" spans="1:12">
      <c r="B63" s="424"/>
      <c r="D63" s="475"/>
      <c r="E63" s="415"/>
      <c r="F63" s="415"/>
      <c r="G63" s="476"/>
      <c r="H63" s="477">
        <f>SUM(H55:H62)</f>
        <v>4249.92</v>
      </c>
      <c r="I63" s="478"/>
      <c r="J63" s="473"/>
      <c r="K63" s="409">
        <f>SUM(K55:K62)</f>
        <v>32</v>
      </c>
      <c r="L63" s="474">
        <f>SUM(L55:L62)</f>
        <v>1004</v>
      </c>
    </row>
    <row r="64" spans="1:12">
      <c r="B64" s="424"/>
      <c r="E64" s="415"/>
      <c r="F64" s="415"/>
      <c r="G64" s="476"/>
      <c r="H64" s="477"/>
      <c r="K64" s="409"/>
    </row>
    <row r="65" spans="1:12" ht="15.75">
      <c r="A65" s="386" t="s">
        <v>77</v>
      </c>
      <c r="B65" s="387"/>
      <c r="E65" s="415"/>
      <c r="F65" s="415"/>
      <c r="G65" s="476"/>
      <c r="H65" s="477"/>
    </row>
    <row r="66" spans="1:12" ht="15.75">
      <c r="A66" s="386" t="s">
        <v>78</v>
      </c>
      <c r="B66" s="387"/>
      <c r="E66" s="415"/>
      <c r="F66" s="415"/>
      <c r="G66" s="476"/>
      <c r="H66" s="477"/>
    </row>
    <row r="67" spans="1:12">
      <c r="B67" s="424"/>
      <c r="E67" s="415"/>
      <c r="F67" s="415"/>
      <c r="G67" s="476"/>
      <c r="H67" s="477"/>
    </row>
    <row r="68" spans="1:12">
      <c r="A68" s="379" t="s">
        <v>637</v>
      </c>
      <c r="B68" s="424">
        <v>118</v>
      </c>
      <c r="C68" s="379">
        <v>66</v>
      </c>
      <c r="D68" s="475">
        <f>C68*H$159</f>
        <v>5.517798</v>
      </c>
      <c r="E68" s="415">
        <v>0</v>
      </c>
      <c r="F68" s="415">
        <v>0</v>
      </c>
      <c r="G68" s="476">
        <f>SUM(D68:F68)</f>
        <v>5.517798</v>
      </c>
      <c r="H68" s="477">
        <f>G68*K68*12</f>
        <v>1125.6307919999999</v>
      </c>
      <c r="I68" s="478">
        <f>+'2006 Stlgt Rates'!I58</f>
        <v>6.96</v>
      </c>
      <c r="J68" s="473">
        <f>+G68/I68-1</f>
        <v>-0.20721293103448279</v>
      </c>
      <c r="K68" s="409">
        <f>+'Schedule 1'!E37</f>
        <v>17</v>
      </c>
      <c r="L68" s="474">
        <f>ROUND((G68-I68)*K68*12,0)</f>
        <v>-294</v>
      </c>
    </row>
    <row r="69" spans="1:12">
      <c r="A69" s="379" t="s">
        <v>638</v>
      </c>
      <c r="B69" s="424">
        <v>119</v>
      </c>
      <c r="C69" s="379">
        <v>364</v>
      </c>
      <c r="D69" s="475">
        <f>C69*H$159</f>
        <v>30.431491999999999</v>
      </c>
      <c r="E69" s="415">
        <v>0</v>
      </c>
      <c r="F69" s="415">
        <v>0</v>
      </c>
      <c r="G69" s="476">
        <f>SUM(D69:F69)</f>
        <v>30.431491999999999</v>
      </c>
      <c r="H69" s="477">
        <f>G69*K69*12</f>
        <v>7668.7359839999999</v>
      </c>
      <c r="I69" s="478">
        <f>+'2006 Stlgt Rates'!I59</f>
        <v>38.31</v>
      </c>
      <c r="J69" s="473">
        <f>+G69/I69-1</f>
        <v>-0.20565147481075441</v>
      </c>
      <c r="K69" s="409">
        <f>+'Schedule 1'!E38</f>
        <v>21</v>
      </c>
      <c r="L69" s="474">
        <f>ROUND((G69-I69)*K69*12,0)</f>
        <v>-1985</v>
      </c>
    </row>
    <row r="70" spans="1:12">
      <c r="A70" s="379" t="s">
        <v>639</v>
      </c>
      <c r="B70" s="424">
        <v>117</v>
      </c>
      <c r="C70" s="379">
        <v>486</v>
      </c>
      <c r="D70" s="475">
        <f>C70*H$159</f>
        <v>40.631057999999996</v>
      </c>
      <c r="E70" s="415">
        <v>0</v>
      </c>
      <c r="F70" s="415">
        <v>0</v>
      </c>
      <c r="G70" s="476">
        <f>SUM(D70:F70)</f>
        <v>40.631057999999996</v>
      </c>
      <c r="H70" s="477">
        <f>G70*K70*12</f>
        <v>975.1453919999999</v>
      </c>
      <c r="I70" s="478">
        <f>+'2006 Stlgt Rates'!I60</f>
        <v>51.15</v>
      </c>
      <c r="J70" s="473">
        <f>+G70/I70-1</f>
        <v>-0.20564891495601179</v>
      </c>
      <c r="K70" s="409">
        <f>+'Schedule 1'!E36</f>
        <v>2</v>
      </c>
      <c r="L70" s="474">
        <f>ROUND((G70-I70)*K70*12,0)</f>
        <v>-252</v>
      </c>
    </row>
    <row r="71" spans="1:12">
      <c r="A71" s="379" t="s">
        <v>640</v>
      </c>
      <c r="B71" s="424">
        <v>120</v>
      </c>
      <c r="C71" s="379">
        <v>254</v>
      </c>
      <c r="D71" s="475">
        <f>C71*H$159</f>
        <v>21.235161999999999</v>
      </c>
      <c r="E71" s="415">
        <v>0</v>
      </c>
      <c r="F71" s="415">
        <v>0</v>
      </c>
      <c r="G71" s="476">
        <f>SUM(D71:F71)</f>
        <v>21.235161999999999</v>
      </c>
      <c r="H71" s="477">
        <f>G71*K71*12</f>
        <v>7389.8363760000002</v>
      </c>
      <c r="I71" s="478">
        <f>+'2006 Stlgt Rates'!I61</f>
        <v>26.74</v>
      </c>
      <c r="J71" s="473">
        <f>+G71/I71-1</f>
        <v>-0.20586529543754672</v>
      </c>
      <c r="K71" s="409">
        <f>+'Schedule 1'!E39</f>
        <v>29</v>
      </c>
      <c r="L71" s="474">
        <f>ROUND((G71-I71)*K71*12,0)</f>
        <v>-1916</v>
      </c>
    </row>
    <row r="72" spans="1:12">
      <c r="A72" s="379" t="s">
        <v>111</v>
      </c>
      <c r="B72" s="424">
        <v>150</v>
      </c>
      <c r="C72" s="379">
        <v>613</v>
      </c>
      <c r="D72" s="475">
        <f>C72*H$159</f>
        <v>51.248638999999997</v>
      </c>
      <c r="E72" s="415">
        <v>0</v>
      </c>
      <c r="F72" s="415">
        <v>0</v>
      </c>
      <c r="G72" s="476">
        <f>SUM(D72:F72)</f>
        <v>51.248638999999997</v>
      </c>
      <c r="H72" s="491">
        <f>G72*K72*12</f>
        <v>14144.624363999999</v>
      </c>
      <c r="I72" s="478">
        <f>+'2006 Stlgt Rates'!I62</f>
        <v>64.52</v>
      </c>
      <c r="J72" s="473">
        <f>+G72/I72-1</f>
        <v>-0.20569375387476752</v>
      </c>
      <c r="K72" s="397">
        <f>+'Schedule 1'!E40</f>
        <v>23</v>
      </c>
      <c r="L72" s="492">
        <f>ROUND((G72-I72)*K72*12,0)</f>
        <v>-3663</v>
      </c>
    </row>
    <row r="73" spans="1:12">
      <c r="B73" s="424"/>
      <c r="D73" s="475"/>
      <c r="E73" s="415"/>
      <c r="F73" s="415"/>
      <c r="G73" s="476"/>
      <c r="H73" s="477">
        <f>SUM(H68:H72)</f>
        <v>31303.972908</v>
      </c>
      <c r="K73" s="409">
        <f>SUM(K68:K72)</f>
        <v>92</v>
      </c>
      <c r="L73" s="474">
        <f>SUM(L68:L72)</f>
        <v>-8110</v>
      </c>
    </row>
    <row r="74" spans="1:12" ht="15.75">
      <c r="A74" s="386" t="s">
        <v>643</v>
      </c>
      <c r="B74" s="387"/>
      <c r="D74" s="475"/>
      <c r="E74" s="415"/>
      <c r="F74" s="415"/>
      <c r="G74" s="476"/>
      <c r="H74" s="477"/>
    </row>
    <row r="75" spans="1:12" ht="15.75">
      <c r="A75" s="386" t="s">
        <v>78</v>
      </c>
      <c r="B75" s="387"/>
      <c r="D75" s="475"/>
      <c r="E75" s="415"/>
      <c r="F75" s="415"/>
      <c r="G75" s="476"/>
      <c r="H75" s="477"/>
    </row>
    <row r="76" spans="1:12">
      <c r="B76" s="424"/>
      <c r="D76" s="475"/>
      <c r="E76" s="415"/>
      <c r="F76" s="415"/>
      <c r="G76" s="476"/>
      <c r="H76" s="477"/>
    </row>
    <row r="77" spans="1:12">
      <c r="A77" s="379" t="s">
        <v>637</v>
      </c>
      <c r="B77" s="424">
        <v>310</v>
      </c>
      <c r="C77" s="379">
        <v>30</v>
      </c>
      <c r="D77" s="475">
        <f t="shared" ref="D77:D83" si="25">ROUND(+C77*H$150,2)</f>
        <v>3.24</v>
      </c>
      <c r="E77" s="415">
        <v>0</v>
      </c>
      <c r="F77" s="415">
        <v>0</v>
      </c>
      <c r="G77" s="476">
        <f t="shared" ref="G77:G83" si="26">SUM(D77:F77)</f>
        <v>3.24</v>
      </c>
      <c r="H77" s="477">
        <f t="shared" ref="H77:H83" si="27">G77*K77*12</f>
        <v>38.880000000000003</v>
      </c>
      <c r="I77" s="478">
        <f>+'2006 Stlgt Rates'!I68</f>
        <v>4.25</v>
      </c>
      <c r="J77" s="473">
        <f t="shared" ref="J77:J83" si="28">+G77/I77-1</f>
        <v>-0.23764705882352932</v>
      </c>
      <c r="K77" s="409">
        <f>+'Schedule 1'!E43</f>
        <v>1</v>
      </c>
      <c r="L77" s="474">
        <f t="shared" ref="L77:L83" si="29">ROUND((G77-I77)*K77*12,0)</f>
        <v>-12</v>
      </c>
    </row>
    <row r="78" spans="1:12">
      <c r="A78" s="379" t="s">
        <v>638</v>
      </c>
      <c r="B78" s="424">
        <v>311</v>
      </c>
      <c r="C78" s="379">
        <v>166</v>
      </c>
      <c r="D78" s="475">
        <f t="shared" si="25"/>
        <v>17.91</v>
      </c>
      <c r="E78" s="415">
        <v>0</v>
      </c>
      <c r="F78" s="415">
        <v>0</v>
      </c>
      <c r="G78" s="476">
        <f t="shared" si="26"/>
        <v>17.91</v>
      </c>
      <c r="H78" s="477">
        <f t="shared" si="27"/>
        <v>1074.5999999999999</v>
      </c>
      <c r="I78" s="478">
        <f>+'2006 Stlgt Rates'!I69</f>
        <v>23.46</v>
      </c>
      <c r="J78" s="473">
        <f t="shared" si="28"/>
        <v>-0.23657289002557547</v>
      </c>
      <c r="K78" s="409">
        <f>+'Schedule 1'!E44</f>
        <v>5</v>
      </c>
      <c r="L78" s="474">
        <f t="shared" si="29"/>
        <v>-333</v>
      </c>
    </row>
    <row r="79" spans="1:12">
      <c r="A79" s="379" t="s">
        <v>639</v>
      </c>
      <c r="B79" s="424">
        <v>313</v>
      </c>
      <c r="C79" s="379">
        <v>222</v>
      </c>
      <c r="D79" s="475">
        <f t="shared" si="25"/>
        <v>23.95</v>
      </c>
      <c r="E79" s="415">
        <v>0</v>
      </c>
      <c r="F79" s="415">
        <v>0</v>
      </c>
      <c r="G79" s="476">
        <f t="shared" si="26"/>
        <v>23.95</v>
      </c>
      <c r="H79" s="477">
        <f t="shared" si="27"/>
        <v>0</v>
      </c>
      <c r="I79" s="478">
        <f>+'2006 Stlgt Rates'!I70</f>
        <v>31.33</v>
      </c>
      <c r="J79" s="473">
        <f t="shared" si="28"/>
        <v>-0.2355569741461857</v>
      </c>
      <c r="K79" s="409">
        <f>+'Schedule 1'!E46</f>
        <v>0</v>
      </c>
      <c r="L79" s="474">
        <f t="shared" si="29"/>
        <v>0</v>
      </c>
    </row>
    <row r="80" spans="1:12">
      <c r="A80" s="379" t="s">
        <v>79</v>
      </c>
      <c r="B80" s="424">
        <v>312</v>
      </c>
      <c r="C80" s="379">
        <v>116</v>
      </c>
      <c r="D80" s="475">
        <f t="shared" si="25"/>
        <v>12.51</v>
      </c>
      <c r="E80" s="415">
        <v>0</v>
      </c>
      <c r="F80" s="415">
        <v>0</v>
      </c>
      <c r="G80" s="476">
        <f t="shared" si="26"/>
        <v>12.51</v>
      </c>
      <c r="H80" s="477">
        <f t="shared" si="27"/>
        <v>300.24</v>
      </c>
      <c r="I80" s="478">
        <f>+'2006 Stlgt Rates'!I71</f>
        <v>16.38</v>
      </c>
      <c r="J80" s="473">
        <f t="shared" si="28"/>
        <v>-0.2362637362637362</v>
      </c>
      <c r="K80" s="409">
        <f>+'Schedule 1'!E45</f>
        <v>2</v>
      </c>
      <c r="L80" s="474">
        <f t="shared" si="29"/>
        <v>-93</v>
      </c>
    </row>
    <row r="81" spans="1:12">
      <c r="A81" s="421" t="s">
        <v>645</v>
      </c>
      <c r="B81" s="487">
        <v>314</v>
      </c>
      <c r="C81" s="421">
        <v>47</v>
      </c>
      <c r="D81" s="480">
        <f t="shared" si="25"/>
        <v>5.07</v>
      </c>
      <c r="E81" s="428">
        <v>0</v>
      </c>
      <c r="F81" s="428">
        <v>0</v>
      </c>
      <c r="G81" s="481">
        <f t="shared" si="26"/>
        <v>5.07</v>
      </c>
      <c r="H81" s="488">
        <f t="shared" si="27"/>
        <v>1521</v>
      </c>
      <c r="I81" s="489">
        <f>+'2006 Stlgt Rates'!F140</f>
        <v>5.0734880000000002</v>
      </c>
      <c r="J81" s="484">
        <f t="shared" si="28"/>
        <v>-6.8749546662960626E-4</v>
      </c>
      <c r="K81" s="412">
        <f>+'Schedule 1'!E47</f>
        <v>25</v>
      </c>
      <c r="L81" s="490">
        <f t="shared" si="29"/>
        <v>-1</v>
      </c>
    </row>
    <row r="82" spans="1:12">
      <c r="A82" s="421" t="s">
        <v>646</v>
      </c>
      <c r="B82" s="487">
        <v>315</v>
      </c>
      <c r="C82" s="421">
        <v>60</v>
      </c>
      <c r="D82" s="480">
        <f t="shared" si="25"/>
        <v>6.47</v>
      </c>
      <c r="E82" s="428">
        <v>0</v>
      </c>
      <c r="F82" s="428">
        <v>0</v>
      </c>
      <c r="G82" s="481">
        <f t="shared" si="26"/>
        <v>6.47</v>
      </c>
      <c r="H82" s="488">
        <f t="shared" si="27"/>
        <v>0</v>
      </c>
      <c r="I82" s="489">
        <f>+'2006 Stlgt Rates'!F141</f>
        <v>6.4749439999999998</v>
      </c>
      <c r="J82" s="484">
        <f t="shared" si="28"/>
        <v>-7.6355872730327068E-4</v>
      </c>
      <c r="K82" s="412">
        <f>+'Schedule 1'!E48</f>
        <v>0</v>
      </c>
      <c r="L82" s="490">
        <f t="shared" si="29"/>
        <v>0</v>
      </c>
    </row>
    <row r="83" spans="1:12">
      <c r="A83" s="379" t="s">
        <v>111</v>
      </c>
      <c r="B83" s="424">
        <v>350</v>
      </c>
      <c r="C83" s="379">
        <v>280</v>
      </c>
      <c r="D83" s="475">
        <f t="shared" si="25"/>
        <v>30.21</v>
      </c>
      <c r="E83" s="415">
        <v>0</v>
      </c>
      <c r="F83" s="415">
        <v>0</v>
      </c>
      <c r="G83" s="476">
        <f t="shared" si="26"/>
        <v>30.21</v>
      </c>
      <c r="H83" s="491">
        <f t="shared" si="27"/>
        <v>28276.560000000001</v>
      </c>
      <c r="I83" s="478">
        <f>+'2006 Stlgt Rates'!I72</f>
        <v>39.51</v>
      </c>
      <c r="J83" s="473">
        <f t="shared" si="28"/>
        <v>-0.23538344722854965</v>
      </c>
      <c r="K83" s="397">
        <f>+'Schedule 1'!E33</f>
        <v>78</v>
      </c>
      <c r="L83" s="492">
        <f t="shared" si="29"/>
        <v>-8705</v>
      </c>
    </row>
    <row r="84" spans="1:12">
      <c r="B84" s="424"/>
      <c r="D84" s="475"/>
      <c r="E84" s="415"/>
      <c r="F84" s="415"/>
      <c r="G84" s="476"/>
      <c r="H84" s="477">
        <f>SUM(H77:H83)</f>
        <v>31211.280000000002</v>
      </c>
      <c r="K84" s="409">
        <f>SUM(K77:K83)</f>
        <v>111</v>
      </c>
      <c r="L84" s="474">
        <f>SUM(L77:L83)</f>
        <v>-9144</v>
      </c>
    </row>
    <row r="85" spans="1:12" ht="15.75">
      <c r="A85" s="386" t="s">
        <v>80</v>
      </c>
      <c r="B85" s="387"/>
      <c r="E85" s="415"/>
      <c r="F85" s="415"/>
      <c r="G85" s="476"/>
      <c r="H85" s="477"/>
    </row>
    <row r="86" spans="1:12" ht="15.75">
      <c r="A86" s="386"/>
      <c r="B86" s="387"/>
      <c r="E86" s="415"/>
      <c r="F86" s="415"/>
      <c r="G86" s="476"/>
      <c r="H86" s="477"/>
    </row>
    <row r="87" spans="1:12">
      <c r="A87" s="379" t="s">
        <v>89</v>
      </c>
      <c r="B87" s="424">
        <v>132</v>
      </c>
      <c r="C87" s="379">
        <v>45</v>
      </c>
      <c r="D87" s="475">
        <f>ROUND(+C87*H$150,2)</f>
        <v>4.8499999999999996</v>
      </c>
      <c r="E87" s="415">
        <f>'Schedule 2'!$H$20</f>
        <v>9.3800000000000008</v>
      </c>
      <c r="F87" s="415">
        <f>'Schedule 4'!$H37</f>
        <v>10.34954934015407</v>
      </c>
      <c r="G87" s="476">
        <f>SUM(D87:F87)</f>
        <v>24.57954934015407</v>
      </c>
      <c r="H87" s="477">
        <f>G87*K87*12</f>
        <v>589.90918416369766</v>
      </c>
      <c r="I87" s="478">
        <f>+'2006 Stlgt Rates'!I78</f>
        <v>14.21</v>
      </c>
      <c r="J87" s="473">
        <f>+G87/I87-1</f>
        <v>0.72973605490176419</v>
      </c>
      <c r="K87" s="409">
        <f>+'Schedule 1'!C62</f>
        <v>2</v>
      </c>
      <c r="L87" s="474">
        <f>ROUND((G87-I87)*K87*12,0)</f>
        <v>249</v>
      </c>
    </row>
    <row r="88" spans="1:12">
      <c r="A88" s="379" t="s">
        <v>29</v>
      </c>
      <c r="B88" s="424">
        <v>130</v>
      </c>
      <c r="C88" s="379">
        <v>60</v>
      </c>
      <c r="D88" s="475">
        <f>ROUND(+C88*H$150,2)</f>
        <v>6.47</v>
      </c>
      <c r="E88" s="415">
        <f>'Schedule 2'!$H$20</f>
        <v>9.3800000000000008</v>
      </c>
      <c r="F88" s="415">
        <f>'Schedule 4'!$H38</f>
        <v>10.34954934015407</v>
      </c>
      <c r="G88" s="476">
        <f>SUM(D88:F88)</f>
        <v>26.199549340154071</v>
      </c>
      <c r="H88" s="477">
        <f>G88*K88*12</f>
        <v>19178.070116992782</v>
      </c>
      <c r="I88" s="478">
        <f>+'2006 Stlgt Rates'!I79</f>
        <v>16.350000000000001</v>
      </c>
      <c r="J88" s="473">
        <f>+G88/I88-1</f>
        <v>0.60241891988709906</v>
      </c>
      <c r="K88" s="409">
        <f>+'Schedule 1'!C60</f>
        <v>61</v>
      </c>
      <c r="L88" s="474">
        <f>ROUND((G88-I88)*K88*12,0)</f>
        <v>7210</v>
      </c>
    </row>
    <row r="89" spans="1:12">
      <c r="A89" s="379" t="s">
        <v>30</v>
      </c>
      <c r="B89" s="424">
        <v>131</v>
      </c>
      <c r="C89" s="379">
        <v>80</v>
      </c>
      <c r="D89" s="475">
        <f>ROUND(+C89*H$150,2)</f>
        <v>8.6300000000000008</v>
      </c>
      <c r="E89" s="415">
        <f>'Schedule 2'!$H$20</f>
        <v>9.3800000000000008</v>
      </c>
      <c r="F89" s="415">
        <f>'Schedule 4'!$H39</f>
        <v>11.845502673487402</v>
      </c>
      <c r="G89" s="476">
        <f>SUM(D89:F89)</f>
        <v>29.855502673487404</v>
      </c>
      <c r="H89" s="477">
        <f>G89*K89*12</f>
        <v>311691.4479112085</v>
      </c>
      <c r="I89" s="478">
        <f>+'2006 Stlgt Rates'!I80</f>
        <v>19.170000000000002</v>
      </c>
      <c r="J89" s="473">
        <f>+G89/I89-1</f>
        <v>0.55740754686945237</v>
      </c>
      <c r="K89" s="409">
        <f>+'Schedule 1'!C61</f>
        <v>870</v>
      </c>
      <c r="L89" s="474">
        <f>ROUND((G89-I89)*K89*12,0)</f>
        <v>111557</v>
      </c>
    </row>
    <row r="90" spans="1:12">
      <c r="B90" s="424"/>
      <c r="D90" s="475"/>
      <c r="E90" s="415"/>
      <c r="F90" s="415"/>
      <c r="G90" s="476"/>
      <c r="H90" s="477"/>
      <c r="I90" s="478"/>
      <c r="J90" s="473"/>
      <c r="K90" s="409"/>
      <c r="L90" s="474"/>
    </row>
    <row r="91" spans="1:12">
      <c r="A91" s="379" t="s">
        <v>647</v>
      </c>
      <c r="B91" s="424">
        <v>231</v>
      </c>
      <c r="C91" s="379">
        <v>80</v>
      </c>
      <c r="D91" s="475">
        <f>ROUND(+C91*H$150,2)</f>
        <v>8.6300000000000008</v>
      </c>
      <c r="E91" s="415">
        <f>'Schedule 2'!$H$20</f>
        <v>9.3800000000000008</v>
      </c>
      <c r="F91" s="415">
        <v>0</v>
      </c>
      <c r="G91" s="476">
        <f>SUM(D91:F91)</f>
        <v>18.010000000000002</v>
      </c>
      <c r="H91" s="477">
        <f>G91*K91*12</f>
        <v>9293.16</v>
      </c>
      <c r="I91" s="478">
        <f>+'2006 Stlgt Rates'!I81</f>
        <v>13.63</v>
      </c>
      <c r="J91" s="473">
        <f>+G91/I91-1</f>
        <v>0.32134996331621424</v>
      </c>
      <c r="K91" s="409">
        <f>+'Schedule 1'!D61</f>
        <v>43</v>
      </c>
      <c r="L91" s="474">
        <f>ROUND((G91-I91)*K91*12,0)</f>
        <v>2260</v>
      </c>
    </row>
    <row r="92" spans="1:12">
      <c r="B92" s="424"/>
      <c r="D92" s="475"/>
      <c r="E92" s="415"/>
      <c r="F92" s="415"/>
      <c r="G92" s="476"/>
      <c r="H92" s="477"/>
      <c r="I92" s="478"/>
      <c r="J92" s="473"/>
      <c r="K92" s="409"/>
      <c r="L92" s="474"/>
    </row>
    <row r="93" spans="1:12">
      <c r="A93" s="379" t="s">
        <v>648</v>
      </c>
      <c r="B93" s="424">
        <v>331</v>
      </c>
      <c r="C93" s="379">
        <v>80</v>
      </c>
      <c r="D93" s="475">
        <f>ROUND(+C93*H$150,2)</f>
        <v>8.6300000000000008</v>
      </c>
      <c r="E93" s="415">
        <v>0</v>
      </c>
      <c r="F93" s="415">
        <v>0</v>
      </c>
      <c r="G93" s="476">
        <f>SUM(D93:F93)</f>
        <v>8.6300000000000008</v>
      </c>
      <c r="H93" s="491">
        <f>G93*K93*12</f>
        <v>3831.7200000000003</v>
      </c>
      <c r="I93" s="497">
        <f>+'2006 Stlgt Rates'!I147</f>
        <v>8.6260159999999999</v>
      </c>
      <c r="J93" s="498">
        <f>+G93/I93-1</f>
        <v>4.6185863786951664E-4</v>
      </c>
      <c r="K93" s="397">
        <f>+'Schedule 1'!E61</f>
        <v>37</v>
      </c>
      <c r="L93" s="492">
        <f>ROUND((G93-I93)*K93*12,0)</f>
        <v>2</v>
      </c>
    </row>
    <row r="94" spans="1:12">
      <c r="B94" s="424"/>
      <c r="E94" s="415"/>
      <c r="F94" s="415"/>
      <c r="G94" s="476"/>
      <c r="H94" s="477">
        <f>SUM(H87:H93)</f>
        <v>344584.30721236492</v>
      </c>
      <c r="K94" s="409">
        <f>SUM(K87:K93)</f>
        <v>1013</v>
      </c>
      <c r="L94" s="474">
        <f>SUM(L87:L93)</f>
        <v>121278</v>
      </c>
    </row>
    <row r="95" spans="1:12" ht="15.75">
      <c r="A95" s="386" t="s">
        <v>641</v>
      </c>
      <c r="B95" s="387"/>
      <c r="E95" s="415"/>
      <c r="F95" s="415"/>
      <c r="G95" s="476"/>
      <c r="H95" s="477"/>
    </row>
    <row r="96" spans="1:12" ht="15.75">
      <c r="A96" s="386"/>
      <c r="B96" s="387"/>
      <c r="E96" s="415"/>
      <c r="F96" s="415"/>
      <c r="G96" s="476"/>
      <c r="H96" s="477"/>
    </row>
    <row r="97" spans="1:12">
      <c r="A97" s="379" t="s">
        <v>620</v>
      </c>
      <c r="B97" s="424">
        <v>123</v>
      </c>
      <c r="C97" s="379">
        <v>32</v>
      </c>
      <c r="D97" s="475">
        <f>ROUND(+C97*H$150,2)</f>
        <v>3.45</v>
      </c>
      <c r="E97" s="415">
        <f>'Schedule 2'!$H$15</f>
        <v>3.13</v>
      </c>
      <c r="F97" s="415">
        <f>'Schedule 4'!$H32</f>
        <v>4.8992567068207364</v>
      </c>
      <c r="G97" s="476">
        <f>SUM(D97:F97)</f>
        <v>11.479256706820737</v>
      </c>
      <c r="H97" s="477">
        <f>G97*K97*12</f>
        <v>5278759.1551449299</v>
      </c>
      <c r="I97" s="478">
        <f>+'2006 Stlgt Rates'!I87</f>
        <v>10.99</v>
      </c>
      <c r="J97" s="473">
        <f>+G97/I97-1</f>
        <v>4.4518353668856703E-2</v>
      </c>
      <c r="K97" s="409">
        <f>+'Schedule 1'!C53</f>
        <v>38321</v>
      </c>
      <c r="L97" s="474">
        <f>ROUND((G97-I97)*K97*12,0)</f>
        <v>224986</v>
      </c>
    </row>
    <row r="98" spans="1:12">
      <c r="A98" s="379" t="s">
        <v>621</v>
      </c>
      <c r="B98" s="424">
        <v>124</v>
      </c>
      <c r="C98" s="379">
        <v>45</v>
      </c>
      <c r="D98" s="475">
        <f>ROUND(+C98*H$150,2)</f>
        <v>4.8499999999999996</v>
      </c>
      <c r="E98" s="415">
        <f>'Schedule 2'!$H$15</f>
        <v>3.13</v>
      </c>
      <c r="F98" s="415">
        <f>'Schedule 4'!$H33</f>
        <v>4.7921360068207361</v>
      </c>
      <c r="G98" s="476">
        <f>SUM(D98:F98)</f>
        <v>12.772136006820736</v>
      </c>
      <c r="H98" s="477">
        <f>G98*K98*12</f>
        <v>7033206.5906039607</v>
      </c>
      <c r="I98" s="478">
        <f>+'2006 Stlgt Rates'!I89</f>
        <v>12.82</v>
      </c>
      <c r="J98" s="473">
        <f>+G98/I98-1</f>
        <v>-3.7335408096150768E-3</v>
      </c>
      <c r="K98" s="409">
        <f>+'Schedule 1'!C54</f>
        <v>45889</v>
      </c>
      <c r="L98" s="474">
        <f>ROUND((G98-I98)*K98*12,0)</f>
        <v>-26357</v>
      </c>
    </row>
    <row r="99" spans="1:12">
      <c r="A99" s="379" t="s">
        <v>622</v>
      </c>
      <c r="B99" s="424">
        <v>125</v>
      </c>
      <c r="C99" s="379">
        <v>65</v>
      </c>
      <c r="D99" s="475">
        <f>ROUND(+C99*H$150,2)</f>
        <v>7.01</v>
      </c>
      <c r="E99" s="415">
        <f>'Schedule 2'!$H$15</f>
        <v>3.13</v>
      </c>
      <c r="F99" s="415">
        <f>'Schedule 4'!$H34</f>
        <v>4.8336826734874032</v>
      </c>
      <c r="G99" s="476">
        <f>SUM(D99:F99)</f>
        <v>14.973682673487403</v>
      </c>
      <c r="H99" s="477">
        <f>G99*K99*12</f>
        <v>941724.85070096981</v>
      </c>
      <c r="I99" s="478">
        <f>+'2006 Stlgt Rates'!I91</f>
        <v>15.66</v>
      </c>
      <c r="J99" s="473">
        <f>+G99/I99-1</f>
        <v>-4.3826138346909183E-2</v>
      </c>
      <c r="K99" s="409">
        <f>+'Schedule 1'!C55</f>
        <v>5241</v>
      </c>
      <c r="L99" s="474">
        <f>ROUND((G99-I99)*K99*12,0)</f>
        <v>-43164</v>
      </c>
    </row>
    <row r="100" spans="1:12">
      <c r="A100" s="379" t="s">
        <v>618</v>
      </c>
      <c r="B100" s="424">
        <v>121</v>
      </c>
      <c r="C100" s="379">
        <v>100</v>
      </c>
      <c r="D100" s="475">
        <f>ROUND(+C100*H$150,2)</f>
        <v>10.79</v>
      </c>
      <c r="E100" s="415">
        <f>'Schedule 2'!$H$15</f>
        <v>3.13</v>
      </c>
      <c r="F100" s="415">
        <f>'Schedule 4'!$H35</f>
        <v>5.5285684401540687</v>
      </c>
      <c r="G100" s="476">
        <f>SUM(D100:F100)</f>
        <v>19.448568440154066</v>
      </c>
      <c r="H100" s="477">
        <f>G100*K100*12</f>
        <v>1226660.1086573973</v>
      </c>
      <c r="I100" s="478">
        <f>+'2006 Stlgt Rates'!I93</f>
        <v>20.59</v>
      </c>
      <c r="J100" s="473">
        <f>+G100/I100-1</f>
        <v>-5.5436209803105041E-2</v>
      </c>
      <c r="K100" s="409">
        <f>+'Schedule 1'!C51</f>
        <v>5256</v>
      </c>
      <c r="L100" s="474">
        <f>ROUND((G100-I100)*K100*12,0)</f>
        <v>-71992</v>
      </c>
    </row>
    <row r="101" spans="1:12">
      <c r="A101" s="379" t="s">
        <v>619</v>
      </c>
      <c r="B101" s="424">
        <v>122</v>
      </c>
      <c r="C101" s="379">
        <v>150</v>
      </c>
      <c r="D101" s="475">
        <f>ROUND(+C101*H$150,2)</f>
        <v>16.18</v>
      </c>
      <c r="E101" s="415">
        <f>'Schedule 2'!$H$15</f>
        <v>3.13</v>
      </c>
      <c r="F101" s="415">
        <f>'Schedule 4'!$H36</f>
        <v>5.7345251068207368</v>
      </c>
      <c r="G101" s="476">
        <f>SUM(D101:F101)</f>
        <v>25.044525106820736</v>
      </c>
      <c r="H101" s="477">
        <f>G101*K101*12</f>
        <v>1102059.2828005396</v>
      </c>
      <c r="I101" s="478">
        <f>+'2006 Stlgt Rates'!I95</f>
        <v>27.62</v>
      </c>
      <c r="J101" s="473">
        <f>+G101/I101-1</f>
        <v>-9.3246737624158804E-2</v>
      </c>
      <c r="K101" s="409">
        <f>+'Schedule 1'!C52</f>
        <v>3667</v>
      </c>
      <c r="L101" s="474">
        <f>ROUND((G101-I101)*K101*12,0)</f>
        <v>-113331</v>
      </c>
    </row>
    <row r="102" spans="1:12">
      <c r="B102" s="424"/>
      <c r="D102" s="475"/>
      <c r="E102" s="415"/>
      <c r="F102" s="415"/>
      <c r="G102" s="476"/>
      <c r="H102" s="477"/>
      <c r="I102" s="478"/>
      <c r="J102" s="473"/>
      <c r="K102" s="409"/>
      <c r="L102" s="474"/>
    </row>
    <row r="103" spans="1:12">
      <c r="A103" s="421" t="s">
        <v>686</v>
      </c>
      <c r="B103" s="487">
        <v>452</v>
      </c>
      <c r="C103" s="421">
        <v>363</v>
      </c>
      <c r="D103" s="480">
        <f>ROUND(+C103*H$150,2)</f>
        <v>39.159999999999997</v>
      </c>
      <c r="E103" s="428">
        <f>+'2006 Stlgt Rates'!G153</f>
        <v>4.2260960000000001</v>
      </c>
      <c r="F103" s="428">
        <f>+'2006 Stlgt Rates'!H153</f>
        <v>17.903871999999996</v>
      </c>
      <c r="G103" s="481">
        <f>SUM(D103:F103)</f>
        <v>61.289967999999988</v>
      </c>
      <c r="H103" s="493">
        <f>G103*K103*12</f>
        <v>5148.3573119999992</v>
      </c>
      <c r="I103" s="489">
        <f>+'2006 Stlgt Rates'!I153</f>
        <v>61.305551999999999</v>
      </c>
      <c r="J103" s="484">
        <f>+G103/I103-1</f>
        <v>-2.5420209902049518E-4</v>
      </c>
      <c r="K103" s="412">
        <f>+'Schedule 1'!C57</f>
        <v>7</v>
      </c>
      <c r="L103" s="490">
        <f>ROUND((G103-I103)*K103*12,0)</f>
        <v>-1</v>
      </c>
    </row>
    <row r="104" spans="1:12">
      <c r="B104" s="424"/>
      <c r="D104" s="475"/>
      <c r="E104" s="415"/>
      <c r="F104" s="415"/>
      <c r="G104" s="476"/>
      <c r="H104" s="477"/>
      <c r="I104" s="478"/>
      <c r="J104" s="473"/>
      <c r="K104" s="409"/>
      <c r="L104" s="474"/>
    </row>
    <row r="105" spans="1:12">
      <c r="A105" s="379" t="s">
        <v>620</v>
      </c>
      <c r="B105" s="424">
        <v>222</v>
      </c>
      <c r="C105" s="379">
        <v>32</v>
      </c>
      <c r="D105" s="475">
        <f>ROUND(+C105*H$150,2)</f>
        <v>3.45</v>
      </c>
      <c r="E105" s="415">
        <f>'Schedule 2'!$H$15</f>
        <v>3.13</v>
      </c>
      <c r="F105" s="415">
        <v>0</v>
      </c>
      <c r="G105" s="476">
        <f>SUM(D105:F105)</f>
        <v>6.58</v>
      </c>
      <c r="H105" s="477">
        <f>G105*K105*12</f>
        <v>17687.04</v>
      </c>
      <c r="I105" s="478">
        <f>+'2006 Stlgt Rates'!I88</f>
        <v>5.45</v>
      </c>
      <c r="J105" s="473">
        <f>+G105/I105-1</f>
        <v>0.20733944954128436</v>
      </c>
      <c r="K105" s="409">
        <f>+'Schedule 1'!D53</f>
        <v>224</v>
      </c>
      <c r="L105" s="474">
        <f>ROUND((G105-I105)*K105*12,0)</f>
        <v>3037</v>
      </c>
    </row>
    <row r="106" spans="1:12">
      <c r="A106" s="379" t="s">
        <v>621</v>
      </c>
      <c r="B106" s="424">
        <v>223</v>
      </c>
      <c r="C106" s="379">
        <v>45</v>
      </c>
      <c r="D106" s="475">
        <f>ROUND(+C106*H$150,2)</f>
        <v>4.8499999999999996</v>
      </c>
      <c r="E106" s="415">
        <f>'Schedule 2'!$H$15</f>
        <v>3.13</v>
      </c>
      <c r="F106" s="415">
        <v>0</v>
      </c>
      <c r="G106" s="476">
        <f>SUM(D106:F106)</f>
        <v>7.9799999999999995</v>
      </c>
      <c r="H106" s="477">
        <f>G106*K106*12</f>
        <v>10533.599999999999</v>
      </c>
      <c r="I106" s="478">
        <f>+'2006 Stlgt Rates'!I90</f>
        <v>7.28</v>
      </c>
      <c r="J106" s="473">
        <f>+G106/I106-1</f>
        <v>9.6153846153846034E-2</v>
      </c>
      <c r="K106" s="409">
        <f>+'Schedule 1'!D54</f>
        <v>110</v>
      </c>
      <c r="L106" s="474">
        <f>ROUND((G106-I106)*K106*12,0)</f>
        <v>924</v>
      </c>
    </row>
    <row r="107" spans="1:12">
      <c r="A107" s="379" t="s">
        <v>622</v>
      </c>
      <c r="B107" s="424">
        <v>224</v>
      </c>
      <c r="C107" s="379">
        <v>65</v>
      </c>
      <c r="D107" s="475">
        <f>ROUND(+C107*H$150,2)</f>
        <v>7.01</v>
      </c>
      <c r="E107" s="415">
        <f>'Schedule 2'!$H$15</f>
        <v>3.13</v>
      </c>
      <c r="F107" s="415">
        <v>0</v>
      </c>
      <c r="G107" s="476">
        <f>SUM(D107:F107)</f>
        <v>10.14</v>
      </c>
      <c r="H107" s="477">
        <f>G107*K107*12</f>
        <v>28229.760000000002</v>
      </c>
      <c r="I107" s="478">
        <f>+'2006 Stlgt Rates'!I92</f>
        <v>10.1</v>
      </c>
      <c r="J107" s="473">
        <f>+G107/I107-1</f>
        <v>3.9603960396039639E-3</v>
      </c>
      <c r="K107" s="409">
        <f>+'Schedule 1'!D55</f>
        <v>232</v>
      </c>
      <c r="L107" s="474">
        <f>ROUND((G107-I107)*K107*12,0)</f>
        <v>111</v>
      </c>
    </row>
    <row r="108" spans="1:12">
      <c r="A108" s="379" t="s">
        <v>618</v>
      </c>
      <c r="B108" s="424">
        <v>221</v>
      </c>
      <c r="C108" s="379">
        <v>100</v>
      </c>
      <c r="D108" s="475">
        <f>ROUND(+C108*H$150,2)</f>
        <v>10.79</v>
      </c>
      <c r="E108" s="415">
        <f>'Schedule 2'!$H$15</f>
        <v>3.13</v>
      </c>
      <c r="F108" s="415">
        <v>0</v>
      </c>
      <c r="G108" s="476">
        <f>SUM(D108:F108)</f>
        <v>13.919999999999998</v>
      </c>
      <c r="H108" s="477">
        <f>G108*K108*12</f>
        <v>26726.399999999998</v>
      </c>
      <c r="I108" s="478">
        <f>+'2006 Stlgt Rates'!I94</f>
        <v>15.07</v>
      </c>
      <c r="J108" s="473">
        <f>+G108/I108-1</f>
        <v>-7.6310550763105667E-2</v>
      </c>
      <c r="K108" s="409">
        <f>+'Schedule 1'!D51</f>
        <v>160</v>
      </c>
      <c r="L108" s="474">
        <f>ROUND((G108-I108)*K108*12,0)</f>
        <v>-2208</v>
      </c>
    </row>
    <row r="109" spans="1:12">
      <c r="B109" s="424"/>
      <c r="D109" s="475"/>
      <c r="E109" s="415"/>
      <c r="F109" s="415"/>
      <c r="G109" s="476"/>
      <c r="H109" s="477"/>
      <c r="I109" s="478"/>
      <c r="J109" s="473"/>
      <c r="K109" s="409"/>
      <c r="L109" s="474"/>
    </row>
    <row r="110" spans="1:12">
      <c r="A110" s="379" t="s">
        <v>620</v>
      </c>
      <c r="B110" s="424">
        <v>323</v>
      </c>
      <c r="C110" s="379">
        <v>32</v>
      </c>
      <c r="D110" s="475">
        <f t="shared" ref="D110:D115" si="30">ROUND(+C110*H$150,2)</f>
        <v>3.45</v>
      </c>
      <c r="E110" s="415">
        <v>0</v>
      </c>
      <c r="F110" s="415">
        <v>0</v>
      </c>
      <c r="G110" s="476">
        <f t="shared" ref="G110:G115" si="31">SUM(D110:F110)</f>
        <v>3.45</v>
      </c>
      <c r="H110" s="477">
        <f t="shared" ref="H110:H115" si="32">G110*K110*12</f>
        <v>260778.60000000003</v>
      </c>
      <c r="I110" s="478">
        <f>+'2006 Stlgt Rates'!F155</f>
        <v>3.4538879999999996</v>
      </c>
      <c r="J110" s="473">
        <f t="shared" ref="J110:J115" si="33">+G110/I110-1</f>
        <v>-1.1256879203956904E-3</v>
      </c>
      <c r="K110" s="409">
        <f>+'Schedule 1'!E53</f>
        <v>6299</v>
      </c>
      <c r="L110" s="474">
        <f t="shared" ref="L110:L115" si="34">ROUND((G110-I110)*K110*12,0)</f>
        <v>-294</v>
      </c>
    </row>
    <row r="111" spans="1:12">
      <c r="A111" s="379" t="s">
        <v>621</v>
      </c>
      <c r="B111" s="424">
        <v>324</v>
      </c>
      <c r="C111" s="379">
        <v>45</v>
      </c>
      <c r="D111" s="475">
        <f t="shared" si="30"/>
        <v>4.8499999999999996</v>
      </c>
      <c r="E111" s="415">
        <v>0</v>
      </c>
      <c r="F111" s="415">
        <v>0</v>
      </c>
      <c r="G111" s="476">
        <f t="shared" si="31"/>
        <v>4.8499999999999996</v>
      </c>
      <c r="H111" s="477">
        <f t="shared" si="32"/>
        <v>145965.59999999998</v>
      </c>
      <c r="I111" s="478">
        <f>+'2006 Stlgt Rates'!F156</f>
        <v>4.8562079999999996</v>
      </c>
      <c r="J111" s="473">
        <f t="shared" si="33"/>
        <v>-1.2783636944710963E-3</v>
      </c>
      <c r="K111" s="409">
        <f>+'Schedule 1'!E54</f>
        <v>2508</v>
      </c>
      <c r="L111" s="474">
        <f t="shared" si="34"/>
        <v>-187</v>
      </c>
    </row>
    <row r="112" spans="1:12">
      <c r="A112" s="379" t="s">
        <v>622</v>
      </c>
      <c r="B112" s="424">
        <v>325</v>
      </c>
      <c r="C112" s="379">
        <v>65</v>
      </c>
      <c r="D112" s="475">
        <f t="shared" si="30"/>
        <v>7.01</v>
      </c>
      <c r="E112" s="415">
        <v>0</v>
      </c>
      <c r="F112" s="415">
        <v>0</v>
      </c>
      <c r="G112" s="476">
        <f t="shared" si="31"/>
        <v>7.01</v>
      </c>
      <c r="H112" s="477">
        <f t="shared" si="32"/>
        <v>109271.88</v>
      </c>
      <c r="I112" s="478">
        <f>+'2006 Stlgt Rates'!F157</f>
        <v>7.0072800000000006</v>
      </c>
      <c r="J112" s="473">
        <f t="shared" si="33"/>
        <v>3.8816773412775341E-4</v>
      </c>
      <c r="K112" s="409">
        <f>+'Schedule 1'!E55</f>
        <v>1299</v>
      </c>
      <c r="L112" s="474">
        <f t="shared" si="34"/>
        <v>42</v>
      </c>
    </row>
    <row r="113" spans="1:12">
      <c r="A113" s="379" t="s">
        <v>618</v>
      </c>
      <c r="B113" s="424">
        <v>321</v>
      </c>
      <c r="C113" s="379">
        <v>100</v>
      </c>
      <c r="D113" s="475">
        <f t="shared" si="30"/>
        <v>10.79</v>
      </c>
      <c r="E113" s="415">
        <v>0</v>
      </c>
      <c r="F113" s="415">
        <v>0</v>
      </c>
      <c r="G113" s="476">
        <f t="shared" si="31"/>
        <v>10.79</v>
      </c>
      <c r="H113" s="477">
        <f t="shared" si="32"/>
        <v>217137.95999999996</v>
      </c>
      <c r="I113" s="478">
        <f>+'2006 Stlgt Rates'!F158</f>
        <v>10.787952000000001</v>
      </c>
      <c r="J113" s="473">
        <f t="shared" si="33"/>
        <v>1.898414082670552E-4</v>
      </c>
      <c r="K113" s="409">
        <f>+'Schedule 1'!E51</f>
        <v>1677</v>
      </c>
      <c r="L113" s="474">
        <f t="shared" si="34"/>
        <v>41</v>
      </c>
    </row>
    <row r="114" spans="1:12">
      <c r="A114" s="379" t="s">
        <v>619</v>
      </c>
      <c r="B114" s="424">
        <v>322</v>
      </c>
      <c r="C114" s="379">
        <v>150</v>
      </c>
      <c r="D114" s="475">
        <f t="shared" si="30"/>
        <v>16.18</v>
      </c>
      <c r="E114" s="415">
        <v>0</v>
      </c>
      <c r="F114" s="415">
        <v>0</v>
      </c>
      <c r="G114" s="476">
        <f t="shared" si="31"/>
        <v>16.18</v>
      </c>
      <c r="H114" s="477">
        <f t="shared" si="32"/>
        <v>16697.760000000002</v>
      </c>
      <c r="I114" s="478">
        <f>+'2006 Stlgt Rates'!F159</f>
        <v>16.166495999999999</v>
      </c>
      <c r="J114" s="473">
        <f t="shared" si="33"/>
        <v>8.3530778716678356E-4</v>
      </c>
      <c r="K114" s="409">
        <f>+'Schedule 1'!E52</f>
        <v>86</v>
      </c>
      <c r="L114" s="474">
        <f t="shared" si="34"/>
        <v>14</v>
      </c>
    </row>
    <row r="115" spans="1:12">
      <c r="A115" s="379" t="s">
        <v>623</v>
      </c>
      <c r="B115" s="424">
        <v>327</v>
      </c>
      <c r="C115" s="379">
        <v>183</v>
      </c>
      <c r="D115" s="475">
        <f t="shared" si="30"/>
        <v>19.739999999999998</v>
      </c>
      <c r="E115" s="415">
        <v>0</v>
      </c>
      <c r="F115" s="415">
        <v>0</v>
      </c>
      <c r="G115" s="476">
        <f t="shared" si="31"/>
        <v>19.739999999999998</v>
      </c>
      <c r="H115" s="491">
        <f t="shared" si="32"/>
        <v>710.64</v>
      </c>
      <c r="I115" s="497">
        <f>+'2006 Stlgt Rates'!F160</f>
        <v>19.761616000000004</v>
      </c>
      <c r="J115" s="498">
        <f t="shared" si="33"/>
        <v>-1.093837669955966E-3</v>
      </c>
      <c r="K115" s="397">
        <f>+'Schedule 1'!E56</f>
        <v>3</v>
      </c>
      <c r="L115" s="499">
        <f t="shared" si="34"/>
        <v>-1</v>
      </c>
    </row>
    <row r="116" spans="1:12">
      <c r="B116" s="424"/>
      <c r="D116" s="475"/>
      <c r="E116" s="415"/>
      <c r="F116" s="415"/>
      <c r="G116" s="476"/>
      <c r="H116" s="477">
        <f>SUM(H97:H115)</f>
        <v>16421297.585219795</v>
      </c>
      <c r="I116" s="478"/>
      <c r="J116" s="473"/>
      <c r="K116" s="409">
        <f>SUM(K97:K115)</f>
        <v>110979</v>
      </c>
      <c r="L116" s="474">
        <f>SUM(L97:L115)</f>
        <v>-28380</v>
      </c>
    </row>
    <row r="117" spans="1:12">
      <c r="B117" s="424"/>
      <c r="E117" s="415"/>
      <c r="F117" s="415"/>
      <c r="G117" s="476"/>
      <c r="H117" s="477"/>
    </row>
    <row r="118" spans="1:12" ht="15.75">
      <c r="A118" s="386" t="s">
        <v>81</v>
      </c>
      <c r="B118" s="387"/>
      <c r="E118" s="415"/>
      <c r="F118" s="415"/>
      <c r="G118" s="476"/>
      <c r="H118" s="477"/>
    </row>
    <row r="119" spans="1:12">
      <c r="B119" s="424"/>
      <c r="E119" s="415"/>
      <c r="F119" s="415"/>
      <c r="G119" s="476"/>
      <c r="H119" s="477"/>
    </row>
    <row r="120" spans="1:12">
      <c r="A120" s="379" t="s">
        <v>90</v>
      </c>
      <c r="B120" s="424">
        <v>142</v>
      </c>
      <c r="C120" s="379">
        <v>100</v>
      </c>
      <c r="D120" s="475">
        <f>ROUND(+C120*H$150,2)</f>
        <v>10.79</v>
      </c>
      <c r="E120" s="415">
        <f>+'Schedule 2'!H17</f>
        <v>7.5</v>
      </c>
      <c r="F120" s="415">
        <f>'Schedule 4'!$H40</f>
        <v>8.2159817734874014</v>
      </c>
      <c r="G120" s="476">
        <f>SUM(D120:F120)</f>
        <v>26.505981773487399</v>
      </c>
      <c r="H120" s="477">
        <f>G120*K120*12</f>
        <v>20356.59400203832</v>
      </c>
      <c r="I120" s="478">
        <f>+'2006 Stlgt Rates'!I103</f>
        <v>23.44</v>
      </c>
      <c r="J120" s="473">
        <f>+G120/I120-1</f>
        <v>0.13080127019997434</v>
      </c>
      <c r="K120" s="409">
        <f>+'Schedule 1'!C67</f>
        <v>64</v>
      </c>
      <c r="L120" s="474">
        <f>ROUND((G120-I120)*K120*12,0)</f>
        <v>2355</v>
      </c>
    </row>
    <row r="121" spans="1:12">
      <c r="A121" s="379" t="s">
        <v>31</v>
      </c>
      <c r="B121" s="424">
        <v>140</v>
      </c>
      <c r="C121" s="379">
        <v>150</v>
      </c>
      <c r="D121" s="475">
        <f>ROUND(+C121*H$150,2)</f>
        <v>16.18</v>
      </c>
      <c r="E121" s="415">
        <f>+'Schedule 2'!H18</f>
        <v>5</v>
      </c>
      <c r="F121" s="415">
        <f>'Schedule 4'!$H41</f>
        <v>6.3045617734874027</v>
      </c>
      <c r="G121" s="476">
        <f>SUM(D121:F121)</f>
        <v>27.484561773487403</v>
      </c>
      <c r="H121" s="477">
        <f>G121*K121*12</f>
        <v>400724.91065744637</v>
      </c>
      <c r="I121" s="478">
        <f>+'2006 Stlgt Rates'!I101</f>
        <v>33.82</v>
      </c>
      <c r="J121" s="473">
        <f>+G121/I121-1</f>
        <v>-0.18732815572183903</v>
      </c>
      <c r="K121" s="409">
        <f>+'Schedule 1'!C65</f>
        <v>1215</v>
      </c>
      <c r="L121" s="474">
        <f>ROUND((G121-I121)*K121*12,0)</f>
        <v>-92371</v>
      </c>
    </row>
    <row r="122" spans="1:12">
      <c r="A122" s="379" t="s">
        <v>32</v>
      </c>
      <c r="B122" s="424">
        <v>141</v>
      </c>
      <c r="C122" s="379">
        <v>360</v>
      </c>
      <c r="D122" s="475">
        <f>ROUND(+C122*H$150,2)</f>
        <v>38.840000000000003</v>
      </c>
      <c r="E122" s="475">
        <f>'Schedule 2'!$H19</f>
        <v>7.5</v>
      </c>
      <c r="F122" s="475">
        <f>'Schedule 4'!$H42</f>
        <v>9.6880184401540692</v>
      </c>
      <c r="G122" s="500">
        <f>SUM(D122:F122)</f>
        <v>56.028018440154071</v>
      </c>
      <c r="H122" s="477">
        <f>G122*K122*12</f>
        <v>560056.07232778007</v>
      </c>
      <c r="I122" s="478">
        <f>+'2006 Stlgt Rates'!I102</f>
        <v>69.400000000000006</v>
      </c>
      <c r="J122" s="473">
        <f>+G122/I122-1</f>
        <v>-0.19267984956550332</v>
      </c>
      <c r="K122" s="409">
        <f>+'Schedule 1'!C66</f>
        <v>833</v>
      </c>
      <c r="L122" s="474">
        <f>ROUND((G122-I122)*K122*12,0)</f>
        <v>-133666</v>
      </c>
    </row>
    <row r="123" spans="1:12">
      <c r="B123" s="424"/>
      <c r="D123" s="475"/>
      <c r="E123" s="475"/>
      <c r="F123" s="475"/>
      <c r="G123" s="500"/>
      <c r="H123" s="501"/>
      <c r="I123" s="478"/>
      <c r="J123" s="473"/>
      <c r="K123" s="409"/>
      <c r="L123" s="474"/>
    </row>
    <row r="124" spans="1:12">
      <c r="A124" s="421" t="s">
        <v>96</v>
      </c>
      <c r="B124" s="487">
        <v>143</v>
      </c>
      <c r="C124" s="421">
        <v>67</v>
      </c>
      <c r="D124" s="480">
        <f>ROUND(+C124*H$150,2)</f>
        <v>7.23</v>
      </c>
      <c r="E124" s="480">
        <f>+'Schedule 2'!H17</f>
        <v>7.5</v>
      </c>
      <c r="F124" s="480">
        <v>0</v>
      </c>
      <c r="G124" s="502">
        <f>SUM(D124:F124)</f>
        <v>14.73</v>
      </c>
      <c r="H124" s="488">
        <f>G124*K124*12</f>
        <v>176.76</v>
      </c>
      <c r="I124" s="489">
        <f>+'2006 Stlgt Rates'!I166</f>
        <v>19.859392</v>
      </c>
      <c r="J124" s="484">
        <f>+G124/I124-1</f>
        <v>-0.25828545002787595</v>
      </c>
      <c r="K124" s="412">
        <f>+'Schedule 1'!D68</f>
        <v>1</v>
      </c>
      <c r="L124" s="490">
        <f>ROUND((G124-I124)*K124*12,0)</f>
        <v>-62</v>
      </c>
    </row>
    <row r="125" spans="1:12">
      <c r="A125" s="421"/>
      <c r="B125" s="487"/>
      <c r="C125" s="421"/>
      <c r="D125" s="421"/>
      <c r="E125" s="421"/>
      <c r="F125" s="421"/>
      <c r="G125" s="503"/>
      <c r="H125" s="504"/>
      <c r="I125" s="421"/>
      <c r="J125" s="421"/>
      <c r="K125" s="421"/>
      <c r="L125" s="421"/>
    </row>
    <row r="126" spans="1:12">
      <c r="A126" s="421" t="s">
        <v>90</v>
      </c>
      <c r="B126" s="487">
        <v>343</v>
      </c>
      <c r="C126" s="421">
        <v>100</v>
      </c>
      <c r="D126" s="480">
        <f>ROUND(+C126*H$150,2)</f>
        <v>10.79</v>
      </c>
      <c r="E126" s="421">
        <v>0</v>
      </c>
      <c r="F126" s="421">
        <v>0</v>
      </c>
      <c r="G126" s="502">
        <f>SUM(D126:F126)</f>
        <v>10.79</v>
      </c>
      <c r="H126" s="488">
        <f>G126*K126*12</f>
        <v>8545.68</v>
      </c>
      <c r="I126" s="489">
        <f>+'2006 Stlgt Rates'!F168</f>
        <v>10.787952000000001</v>
      </c>
      <c r="J126" s="484">
        <f>+G126/I126-1</f>
        <v>1.898414082670552E-4</v>
      </c>
      <c r="K126" s="412">
        <f>+'Schedule 1'!E67</f>
        <v>66</v>
      </c>
      <c r="L126" s="490">
        <f>ROUND((G126-I126)*K126*12,0)</f>
        <v>2</v>
      </c>
    </row>
    <row r="127" spans="1:12">
      <c r="A127" s="421" t="s">
        <v>31</v>
      </c>
      <c r="B127" s="487">
        <v>342</v>
      </c>
      <c r="C127" s="421">
        <v>150</v>
      </c>
      <c r="D127" s="480">
        <f>ROUND(+C127*H$150,2)</f>
        <v>16.18</v>
      </c>
      <c r="E127" s="421">
        <v>0</v>
      </c>
      <c r="F127" s="421">
        <v>0</v>
      </c>
      <c r="G127" s="502">
        <f>SUM(D127:F127)</f>
        <v>16.18</v>
      </c>
      <c r="H127" s="488">
        <f>G127*K127*12</f>
        <v>29706.48</v>
      </c>
      <c r="I127" s="489">
        <f>+'2006 Stlgt Rates'!F169</f>
        <v>16.166495999999999</v>
      </c>
      <c r="J127" s="484">
        <f>+G127/I127-1</f>
        <v>8.3530778716678356E-4</v>
      </c>
      <c r="K127" s="412">
        <f>+'Schedule 1'!E65</f>
        <v>153</v>
      </c>
      <c r="L127" s="490">
        <f>ROUND((G127-I127)*K127*12,0)</f>
        <v>25</v>
      </c>
    </row>
    <row r="128" spans="1:12">
      <c r="A128" s="421" t="s">
        <v>32</v>
      </c>
      <c r="B128" s="487">
        <v>341</v>
      </c>
      <c r="C128" s="421">
        <v>360</v>
      </c>
      <c r="D128" s="480">
        <f>ROUND(+C128*H$150,2)</f>
        <v>38.840000000000003</v>
      </c>
      <c r="E128" s="421">
        <v>0</v>
      </c>
      <c r="F128" s="421">
        <v>0</v>
      </c>
      <c r="G128" s="502">
        <f>SUM(D128:F128)</f>
        <v>38.840000000000003</v>
      </c>
      <c r="H128" s="488">
        <f>G128*K128*12</f>
        <v>5126.88</v>
      </c>
      <c r="I128" s="489">
        <f>+'2006 Stlgt Rates'!F170</f>
        <v>38.828800000000001</v>
      </c>
      <c r="J128" s="484">
        <f>+G128/I128-1</f>
        <v>2.8844568979735641E-4</v>
      </c>
      <c r="K128" s="412">
        <f>+'Schedule 1'!E66</f>
        <v>11</v>
      </c>
      <c r="L128" s="490">
        <f>ROUND((G128-I128)*K128*12,0)</f>
        <v>1</v>
      </c>
    </row>
    <row r="129" spans="1:12">
      <c r="A129" s="421" t="s">
        <v>100</v>
      </c>
      <c r="B129" s="487">
        <v>344</v>
      </c>
      <c r="C129" s="421">
        <v>67</v>
      </c>
      <c r="D129" s="480">
        <f>ROUND(+C129*H$150,2)</f>
        <v>7.23</v>
      </c>
      <c r="E129" s="421">
        <v>0</v>
      </c>
      <c r="F129" s="421">
        <v>0</v>
      </c>
      <c r="G129" s="502">
        <f>SUM(D129:F129)</f>
        <v>7.23</v>
      </c>
      <c r="H129" s="488">
        <f>G129*K129*12</f>
        <v>6246.7200000000012</v>
      </c>
      <c r="I129" s="489">
        <f>+'2006 Stlgt Rates'!F171</f>
        <v>8.0936800000000009</v>
      </c>
      <c r="J129" s="484">
        <f>+G129/I129-1</f>
        <v>-0.10671042097043626</v>
      </c>
      <c r="K129" s="412">
        <f>+'Schedule 1'!E69</f>
        <v>72</v>
      </c>
      <c r="L129" s="490">
        <f>ROUND((G129-I129)*K129*12,0)</f>
        <v>-746</v>
      </c>
    </row>
    <row r="130" spans="1:12">
      <c r="A130" s="421" t="s">
        <v>96</v>
      </c>
      <c r="B130" s="487">
        <v>345</v>
      </c>
      <c r="C130" s="421">
        <v>57</v>
      </c>
      <c r="D130" s="480">
        <f>ROUND(+C130*H$150,2)</f>
        <v>6.15</v>
      </c>
      <c r="E130" s="421">
        <v>0</v>
      </c>
      <c r="F130" s="421">
        <v>0</v>
      </c>
      <c r="G130" s="502">
        <f>SUM(D130:F130)</f>
        <v>6.15</v>
      </c>
      <c r="H130" s="482">
        <f>G130*K130*12</f>
        <v>221.40000000000003</v>
      </c>
      <c r="I130" s="489">
        <f>+'2006 Stlgt Rates'!F172</f>
        <v>7.2136959999999997</v>
      </c>
      <c r="J130" s="484">
        <f>+G130/I130-1</f>
        <v>-0.14745506325744795</v>
      </c>
      <c r="K130" s="485">
        <f>+'Schedule 1'!E70</f>
        <v>3</v>
      </c>
      <c r="L130" s="486">
        <f>ROUND((G130-I130)*K130*12,0)</f>
        <v>-38</v>
      </c>
    </row>
    <row r="131" spans="1:12">
      <c r="D131" s="475"/>
      <c r="G131" s="500"/>
      <c r="H131" s="501">
        <f>SUM(H120:H130)</f>
        <v>1031161.4969872647</v>
      </c>
      <c r="I131" s="478"/>
      <c r="J131" s="473"/>
      <c r="K131" s="409">
        <f>SUM(K120:K130)</f>
        <v>2418</v>
      </c>
      <c r="L131" s="474">
        <f>SUM(L120:L130)</f>
        <v>-224500</v>
      </c>
    </row>
    <row r="132" spans="1:12" ht="15.75" thickBot="1">
      <c r="G132" s="467"/>
      <c r="H132" s="468"/>
    </row>
    <row r="133" spans="1:12" ht="16.5" thickBot="1">
      <c r="A133" s="388" t="s">
        <v>642</v>
      </c>
      <c r="B133" s="388"/>
      <c r="D133" s="505"/>
      <c r="E133" s="505"/>
      <c r="F133" s="505"/>
      <c r="G133" s="506"/>
      <c r="H133" s="507">
        <f>SUM(H14:H131)/2</f>
        <v>21677824.369247429</v>
      </c>
      <c r="K133" s="508">
        <f>SUM(K14:K132)/2</f>
        <v>134287</v>
      </c>
      <c r="L133" s="509">
        <f>SUM(L14:L131)/2</f>
        <v>276127</v>
      </c>
    </row>
    <row r="137" spans="1:12" ht="15.75">
      <c r="D137" s="386" t="s">
        <v>688</v>
      </c>
      <c r="E137" s="386"/>
    </row>
    <row r="140" spans="1:12" ht="15.75">
      <c r="D140" s="510" t="s">
        <v>712</v>
      </c>
      <c r="E140" s="511"/>
      <c r="F140" s="512"/>
      <c r="G140" s="512"/>
      <c r="H140" s="512"/>
      <c r="I140" s="513"/>
    </row>
    <row r="141" spans="1:12" ht="15.75">
      <c r="D141" s="514" t="s">
        <v>711</v>
      </c>
      <c r="E141" s="515"/>
      <c r="F141" s="516"/>
      <c r="G141" s="516"/>
      <c r="H141" s="516"/>
      <c r="I141" s="468"/>
    </row>
    <row r="142" spans="1:12" ht="15.75">
      <c r="D142" s="514"/>
      <c r="E142" s="515"/>
      <c r="F142" s="516"/>
      <c r="G142" s="516"/>
      <c r="H142" s="516"/>
      <c r="I142" s="468"/>
    </row>
    <row r="143" spans="1:12" ht="15.75">
      <c r="D143" s="517" t="s">
        <v>713</v>
      </c>
      <c r="E143" s="518"/>
      <c r="F143" s="516"/>
      <c r="G143" s="516"/>
      <c r="H143" s="516"/>
      <c r="I143" s="468"/>
    </row>
    <row r="144" spans="1:12">
      <c r="D144" s="467" t="s">
        <v>698</v>
      </c>
      <c r="E144" s="516"/>
      <c r="F144" s="516"/>
      <c r="G144" s="516"/>
      <c r="H144" s="519">
        <f>ROUND('Rates 2005 04 01'!I143*(1+'2006 Stlgt Rates'!$C$3),2)</f>
        <v>8.41</v>
      </c>
      <c r="I144" s="468"/>
    </row>
    <row r="145" spans="4:9">
      <c r="D145" s="467" t="s">
        <v>82</v>
      </c>
      <c r="E145" s="516"/>
      <c r="F145" s="516"/>
      <c r="G145" s="516"/>
      <c r="H145" s="520"/>
      <c r="I145" s="468"/>
    </row>
    <row r="146" spans="4:9" ht="30" customHeight="1">
      <c r="D146" s="521" t="s">
        <v>699</v>
      </c>
      <c r="E146" s="522"/>
      <c r="F146" s="523">
        <f>200</f>
        <v>200</v>
      </c>
      <c r="G146" s="524">
        <v>9.5600000000000004E-2</v>
      </c>
      <c r="H146" s="520">
        <f>ROUND(+F146*G146,2)</f>
        <v>19.12</v>
      </c>
      <c r="I146" s="468"/>
    </row>
    <row r="147" spans="4:9" ht="30" customHeight="1">
      <c r="D147" s="521" t="s">
        <v>700</v>
      </c>
      <c r="E147" s="522"/>
      <c r="F147" s="523">
        <f>(4000/12)-F146</f>
        <v>133.33333333333331</v>
      </c>
      <c r="G147" s="524">
        <v>6.3200000000000006E-2</v>
      </c>
      <c r="H147" s="525">
        <f>ROUND(+F147*G147,2)</f>
        <v>8.43</v>
      </c>
      <c r="I147" s="468"/>
    </row>
    <row r="148" spans="4:9">
      <c r="D148" s="467"/>
      <c r="E148" s="516"/>
      <c r="F148" s="523"/>
      <c r="G148" s="516"/>
      <c r="H148" s="519">
        <f>SUM(H144:H147)</f>
        <v>35.96</v>
      </c>
      <c r="I148" s="468"/>
    </row>
    <row r="149" spans="4:9">
      <c r="D149" s="467"/>
      <c r="E149" s="516"/>
      <c r="F149" s="523"/>
      <c r="G149" s="516"/>
      <c r="H149" s="519"/>
      <c r="I149" s="468"/>
    </row>
    <row r="150" spans="4:9" ht="15.75">
      <c r="D150" s="467" t="s">
        <v>83</v>
      </c>
      <c r="E150" s="516"/>
      <c r="F150" s="523">
        <f>SUM(F146:F147)</f>
        <v>333.33333333333331</v>
      </c>
      <c r="G150" s="516"/>
      <c r="H150" s="526">
        <f>ROUND(+H148/F150,6)</f>
        <v>0.10788</v>
      </c>
      <c r="I150" s="468"/>
    </row>
    <row r="151" spans="4:9">
      <c r="D151" s="467"/>
      <c r="E151" s="516"/>
      <c r="F151" s="523"/>
      <c r="G151" s="516"/>
      <c r="H151" s="516"/>
      <c r="I151" s="468"/>
    </row>
    <row r="152" spans="4:9" ht="15.75">
      <c r="D152" s="517" t="s">
        <v>714</v>
      </c>
      <c r="E152" s="518"/>
      <c r="F152" s="523"/>
      <c r="G152" s="516"/>
      <c r="H152" s="516"/>
      <c r="I152" s="468"/>
    </row>
    <row r="153" spans="4:9">
      <c r="D153" s="467" t="s">
        <v>698</v>
      </c>
      <c r="E153" s="516"/>
      <c r="F153" s="523"/>
      <c r="G153" s="516"/>
      <c r="H153" s="519">
        <f>+H144</f>
        <v>8.41</v>
      </c>
      <c r="I153" s="468"/>
    </row>
    <row r="154" spans="4:9">
      <c r="D154" s="467" t="s">
        <v>82</v>
      </c>
      <c r="E154" s="516"/>
      <c r="F154" s="523"/>
      <c r="G154" s="516"/>
      <c r="H154" s="520"/>
      <c r="I154" s="468"/>
    </row>
    <row r="155" spans="4:9" ht="30" customHeight="1">
      <c r="D155" s="521" t="s">
        <v>699</v>
      </c>
      <c r="E155" s="522"/>
      <c r="F155" s="523">
        <f>200</f>
        <v>200</v>
      </c>
      <c r="G155" s="524">
        <f>G146</f>
        <v>9.5600000000000004E-2</v>
      </c>
      <c r="H155" s="520">
        <f>ROUND(+F155*G155,2)</f>
        <v>19.12</v>
      </c>
      <c r="I155" s="468"/>
    </row>
    <row r="156" spans="4:9" ht="30" customHeight="1">
      <c r="D156" s="521" t="s">
        <v>700</v>
      </c>
      <c r="E156" s="522"/>
      <c r="F156" s="523">
        <f>(8760/12)-F155</f>
        <v>530</v>
      </c>
      <c r="G156" s="524">
        <f>G147</f>
        <v>6.3200000000000006E-2</v>
      </c>
      <c r="H156" s="525">
        <f>ROUND(+F156*G156,2)</f>
        <v>33.5</v>
      </c>
      <c r="I156" s="468"/>
    </row>
    <row r="157" spans="4:9">
      <c r="D157" s="467"/>
      <c r="E157" s="516"/>
      <c r="F157" s="523"/>
      <c r="G157" s="516"/>
      <c r="H157" s="519">
        <f>SUM(H153:H156)</f>
        <v>61.03</v>
      </c>
      <c r="I157" s="468"/>
    </row>
    <row r="158" spans="4:9">
      <c r="D158" s="467"/>
      <c r="E158" s="516"/>
      <c r="F158" s="523"/>
      <c r="G158" s="516"/>
      <c r="H158" s="519"/>
      <c r="I158" s="468"/>
    </row>
    <row r="159" spans="4:9" ht="15.75">
      <c r="D159" s="527" t="s">
        <v>83</v>
      </c>
      <c r="E159" s="528"/>
      <c r="F159" s="529">
        <f>SUM(F155:F156)</f>
        <v>730</v>
      </c>
      <c r="G159" s="528"/>
      <c r="H159" s="530">
        <f>ROUND(+H157/F159,6)</f>
        <v>8.3602999999999997E-2</v>
      </c>
      <c r="I159" s="531"/>
    </row>
  </sheetData>
  <mergeCells count="4">
    <mergeCell ref="D156:E156"/>
    <mergeCell ref="D146:E146"/>
    <mergeCell ref="D147:E147"/>
    <mergeCell ref="D155:E155"/>
  </mergeCells>
  <phoneticPr fontId="0" type="noConversion"/>
  <printOptions horizontalCentered="1"/>
  <pageMargins left="0.5" right="0.5" top="0.5" bottom="0.65277777777777801" header="0" footer="0"/>
  <pageSetup scale="64" fitToHeight="4" orientation="landscape" r:id="rId1"/>
  <headerFooter alignWithMargins="0">
    <oddFooter>&amp;LDate : &amp;D</oddFooter>
  </headerFooter>
  <rowBreaks count="2" manualBreakCount="2">
    <brk id="43" min="3" max="11" man="1"/>
    <brk id="84" min="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showOutlineSymbols="0" topLeftCell="A10" zoomScale="75" zoomScaleNormal="75" workbookViewId="0">
      <selection activeCell="D14" sqref="D14"/>
    </sheetView>
  </sheetViews>
  <sheetFormatPr defaultColWidth="11.6640625" defaultRowHeight="15"/>
  <cols>
    <col min="1" max="1" width="34.21875" style="1" customWidth="1"/>
    <col min="2" max="2" width="10.33203125" style="1" customWidth="1"/>
    <col min="3" max="3" width="13.6640625" style="1" customWidth="1"/>
    <col min="4" max="4" width="11.6640625" style="1"/>
    <col min="5" max="5" width="12.6640625" style="1" customWidth="1"/>
    <col min="6" max="7" width="11.6640625" style="1"/>
    <col min="8" max="8" width="12.6640625" style="1" customWidth="1"/>
    <col min="9" max="12" width="11.6640625" style="1"/>
    <col min="13" max="13" width="5.77734375" style="1" customWidth="1"/>
    <col min="14" max="17" width="11.77734375" style="1" bestFit="1" customWidth="1"/>
    <col min="18" max="16384" width="11.6640625" style="1"/>
  </cols>
  <sheetData>
    <row r="1" spans="1:17" ht="15.75">
      <c r="L1" s="339" t="s">
        <v>805</v>
      </c>
    </row>
    <row r="3" spans="1:17" ht="18">
      <c r="A3" s="352" t="str">
        <f>+'Schedule 7'!A3</f>
        <v>STREET / CROSSWALK LIGHTING STUDY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5" spans="1:17" ht="20.25">
      <c r="A5" s="27" t="s">
        <v>718</v>
      </c>
      <c r="B5" s="203"/>
      <c r="C5" s="28"/>
      <c r="D5" s="185"/>
      <c r="E5" s="28"/>
      <c r="F5" s="28"/>
      <c r="G5" s="28"/>
      <c r="H5" s="28"/>
      <c r="I5" s="185"/>
      <c r="J5" s="185"/>
      <c r="K5" s="185"/>
      <c r="L5" s="185"/>
      <c r="N5" s="333" t="s">
        <v>789</v>
      </c>
    </row>
    <row r="6" spans="1:17" ht="18">
      <c r="A6" s="27" t="s">
        <v>704</v>
      </c>
      <c r="B6" s="27"/>
      <c r="C6" s="28"/>
      <c r="D6" s="185"/>
      <c r="E6" s="28"/>
      <c r="F6" s="28"/>
      <c r="G6" s="28"/>
      <c r="H6" s="28"/>
      <c r="I6" s="185"/>
      <c r="J6" s="185"/>
      <c r="K6" s="185"/>
      <c r="L6" s="185"/>
      <c r="N6" s="334" t="s">
        <v>704</v>
      </c>
    </row>
    <row r="7" spans="1:17" ht="18">
      <c r="A7" s="27"/>
      <c r="B7" s="27"/>
      <c r="C7" s="28"/>
      <c r="D7" s="28"/>
      <c r="E7" s="28"/>
      <c r="F7" s="28"/>
      <c r="G7" s="28"/>
      <c r="H7" s="28"/>
      <c r="I7" s="185"/>
      <c r="J7" s="185"/>
      <c r="K7" s="185"/>
      <c r="L7" s="185"/>
    </row>
    <row r="8" spans="1:17" ht="15.75">
      <c r="G8" s="245" t="s">
        <v>708</v>
      </c>
      <c r="H8" s="246" t="s">
        <v>708</v>
      </c>
      <c r="I8" s="189" t="s">
        <v>709</v>
      </c>
      <c r="N8" s="169" t="s">
        <v>85</v>
      </c>
    </row>
    <row r="9" spans="1:17" ht="15.75">
      <c r="B9" s="169" t="s">
        <v>443</v>
      </c>
      <c r="C9" s="4"/>
      <c r="D9" s="12" t="s">
        <v>85</v>
      </c>
      <c r="E9" s="4"/>
      <c r="F9" s="4"/>
      <c r="G9" s="247" t="s">
        <v>707</v>
      </c>
      <c r="H9" s="248" t="s">
        <v>707</v>
      </c>
      <c r="I9" s="169" t="s">
        <v>707</v>
      </c>
      <c r="J9" s="169" t="s">
        <v>632</v>
      </c>
      <c r="L9" s="169" t="s">
        <v>635</v>
      </c>
      <c r="N9" s="12" t="s">
        <v>86</v>
      </c>
      <c r="O9" s="169" t="s">
        <v>87</v>
      </c>
      <c r="P9" s="169" t="s">
        <v>88</v>
      </c>
    </row>
    <row r="10" spans="1:17" ht="15.75">
      <c r="A10" s="16" t="s">
        <v>9</v>
      </c>
      <c r="B10" s="16" t="s">
        <v>34</v>
      </c>
      <c r="C10" s="16" t="s">
        <v>84</v>
      </c>
      <c r="D10" s="16" t="s">
        <v>86</v>
      </c>
      <c r="E10" s="16" t="s">
        <v>87</v>
      </c>
      <c r="F10" s="16" t="s">
        <v>88</v>
      </c>
      <c r="G10" s="249" t="s">
        <v>631</v>
      </c>
      <c r="H10" s="250" t="s">
        <v>635</v>
      </c>
      <c r="I10" s="16" t="s">
        <v>631</v>
      </c>
      <c r="J10" s="16" t="s">
        <v>633</v>
      </c>
      <c r="K10" s="16" t="s">
        <v>634</v>
      </c>
      <c r="L10" s="16" t="s">
        <v>636</v>
      </c>
      <c r="N10" s="16" t="s">
        <v>635</v>
      </c>
      <c r="O10" s="16" t="s">
        <v>635</v>
      </c>
      <c r="P10" s="16" t="s">
        <v>635</v>
      </c>
      <c r="Q10" s="16" t="s">
        <v>50</v>
      </c>
    </row>
    <row r="11" spans="1:17">
      <c r="G11" s="251"/>
      <c r="H11" s="252"/>
    </row>
    <row r="12" spans="1:17" ht="15.75">
      <c r="A12" s="4" t="s">
        <v>72</v>
      </c>
      <c r="B12" s="4"/>
      <c r="G12" s="251"/>
      <c r="H12" s="252"/>
    </row>
    <row r="13" spans="1:17">
      <c r="G13" s="251"/>
      <c r="H13" s="252"/>
    </row>
    <row r="14" spans="1:17">
      <c r="A14" s="1" t="s">
        <v>73</v>
      </c>
      <c r="B14" s="188" t="s">
        <v>0</v>
      </c>
      <c r="C14" s="1">
        <v>97</v>
      </c>
      <c r="D14" s="173">
        <f>+D24</f>
        <v>11.25</v>
      </c>
      <c r="E14" s="173">
        <f>+E24</f>
        <v>3.13</v>
      </c>
      <c r="F14" s="173">
        <f>+F24</f>
        <v>6.2643817734874032</v>
      </c>
      <c r="G14" s="253">
        <f>SUM(D14:F14)</f>
        <v>20.644381773487403</v>
      </c>
      <c r="H14" s="266">
        <f>G14*K14*12</f>
        <v>7679.7100197373129</v>
      </c>
      <c r="I14" s="170">
        <f>+'2007 Stlgt Rates'!I14</f>
        <v>20.059999999999999</v>
      </c>
      <c r="J14" s="172">
        <f>+G14/I14-1</f>
        <v>2.9131693593589469E-2</v>
      </c>
      <c r="K14" s="20">
        <f>+'Schedule 1'!C9</f>
        <v>31</v>
      </c>
      <c r="L14" s="174">
        <f>ROUND((G14-I14)*K14*12,0)</f>
        <v>217</v>
      </c>
      <c r="N14" s="174">
        <f>$D14*$K14*12</f>
        <v>4185</v>
      </c>
      <c r="O14" s="174">
        <f>$E14*$K14*12</f>
        <v>1164.3600000000001</v>
      </c>
      <c r="P14" s="174">
        <f>$F14*$K14*12</f>
        <v>2330.3500197373141</v>
      </c>
      <c r="Q14" s="174">
        <f>SUM(N14:P14)</f>
        <v>7679.7100197373147</v>
      </c>
    </row>
    <row r="15" spans="1:17">
      <c r="A15" s="1" t="s">
        <v>74</v>
      </c>
      <c r="B15" s="188" t="s">
        <v>1</v>
      </c>
      <c r="C15" s="1">
        <v>154</v>
      </c>
      <c r="D15" s="186">
        <f>D25</f>
        <v>17.86</v>
      </c>
      <c r="E15" s="14">
        <f>E25</f>
        <v>3.13</v>
      </c>
      <c r="F15" s="14">
        <f>F25</f>
        <v>6.4020051068207353</v>
      </c>
      <c r="G15" s="254">
        <f>SUM(D15:F15)</f>
        <v>27.392005106820733</v>
      </c>
      <c r="H15" s="262">
        <f>G15*K15*12</f>
        <v>986.11218384554638</v>
      </c>
      <c r="I15" s="171">
        <f>+'2007 Stlgt Rates'!I15</f>
        <v>29.09</v>
      </c>
      <c r="J15" s="172">
        <f>+G15/I15-1</f>
        <v>-5.8370398527991307E-2</v>
      </c>
      <c r="K15" s="20">
        <f>+'Schedule 1'!C10</f>
        <v>3</v>
      </c>
      <c r="L15" s="174">
        <f>ROUND((G15-I15)*K15*12,0)</f>
        <v>-61</v>
      </c>
      <c r="N15" s="174">
        <f>$D15*$K15*12</f>
        <v>642.96</v>
      </c>
      <c r="O15" s="174">
        <f>$E15*$K15*12</f>
        <v>112.68</v>
      </c>
      <c r="P15" s="174">
        <f>$F15*$K15*12</f>
        <v>230.47218384554648</v>
      </c>
      <c r="Q15" s="174">
        <f>SUM(N15:P15)</f>
        <v>986.11218384554661</v>
      </c>
    </row>
    <row r="16" spans="1:17">
      <c r="B16" s="18"/>
      <c r="E16" s="14"/>
      <c r="F16" s="14"/>
      <c r="G16" s="254"/>
      <c r="H16" s="262"/>
    </row>
    <row r="17" spans="1:17" ht="15.75">
      <c r="A17" s="176" t="s">
        <v>73</v>
      </c>
      <c r="B17" s="234" t="s">
        <v>500</v>
      </c>
      <c r="C17" s="176">
        <v>97</v>
      </c>
      <c r="D17" s="177">
        <f>+D24</f>
        <v>11.25</v>
      </c>
      <c r="E17" s="178">
        <v>0</v>
      </c>
      <c r="F17" s="178">
        <v>0</v>
      </c>
      <c r="G17" s="255">
        <f>SUM(D17:F17)</f>
        <v>11.25</v>
      </c>
      <c r="H17" s="263">
        <f>G17*K17*12</f>
        <v>945</v>
      </c>
      <c r="I17" s="179">
        <f>+'2007 Stlgt Rates'!I119</f>
        <v>14.715287999999999</v>
      </c>
      <c r="J17" s="180">
        <f>+G17/I17-1</f>
        <v>-0.23548896902323624</v>
      </c>
      <c r="K17" s="184">
        <f>+'Schedule 1'!E9</f>
        <v>7</v>
      </c>
      <c r="L17" s="200">
        <f>ROUND((G17-I17)*K17*12,0)</f>
        <v>-291</v>
      </c>
      <c r="N17" s="243">
        <f>$D17*$K17*12</f>
        <v>945</v>
      </c>
      <c r="O17" s="243">
        <f>$E17*$K17*12</f>
        <v>0</v>
      </c>
      <c r="P17" s="243">
        <f>$F17*$K17*12</f>
        <v>0</v>
      </c>
      <c r="Q17" s="243">
        <f>SUM(N17:P17)</f>
        <v>945</v>
      </c>
    </row>
    <row r="18" spans="1:17">
      <c r="B18" s="18"/>
      <c r="E18" s="14"/>
      <c r="F18" s="14"/>
      <c r="G18" s="254"/>
      <c r="H18" s="262">
        <f>SUM(H14:H17)</f>
        <v>9610.8222035828585</v>
      </c>
      <c r="K18" s="20">
        <f>SUM(K14:K17)</f>
        <v>41</v>
      </c>
      <c r="L18" s="174">
        <f>SUM(L14:L17)</f>
        <v>-135</v>
      </c>
    </row>
    <row r="19" spans="1:17" ht="15.75">
      <c r="A19" s="4" t="s">
        <v>75</v>
      </c>
      <c r="B19" s="12"/>
      <c r="E19" s="14"/>
      <c r="F19" s="14"/>
      <c r="G19" s="254"/>
      <c r="H19" s="262"/>
    </row>
    <row r="20" spans="1:17">
      <c r="B20" s="18"/>
      <c r="E20" s="14"/>
      <c r="F20" s="14"/>
      <c r="G20" s="254"/>
      <c r="H20" s="262"/>
    </row>
    <row r="21" spans="1:17">
      <c r="A21" s="1" t="s">
        <v>12</v>
      </c>
      <c r="B21" s="18">
        <v>100</v>
      </c>
      <c r="C21" s="1">
        <v>43</v>
      </c>
      <c r="D21" s="186">
        <f t="shared" ref="D21:D27" si="0">ROUND(+C21*H$150,2)</f>
        <v>4.99</v>
      </c>
      <c r="E21" s="14">
        <f>'Schedule 2'!$H$12</f>
        <v>3.13</v>
      </c>
      <c r="F21" s="14">
        <f>'Schedule 4'!$H17</f>
        <v>5.3067816734874027</v>
      </c>
      <c r="G21" s="254">
        <f t="shared" ref="G21:G28" si="1">SUM(D21:F21)</f>
        <v>13.426781673487405</v>
      </c>
      <c r="H21" s="262">
        <f t="shared" ref="H21:H28" si="2">G21*K21*12</f>
        <v>43341.651242017346</v>
      </c>
      <c r="I21" s="171">
        <f>+'2007 Stlgt Rates'!I19</f>
        <v>11.45</v>
      </c>
      <c r="J21" s="172">
        <f t="shared" ref="J21:J28" si="3">+G21/I21-1</f>
        <v>0.17264468764082141</v>
      </c>
      <c r="K21" s="20">
        <f>+'Schedule 1'!C13</f>
        <v>269</v>
      </c>
      <c r="L21" s="174">
        <f t="shared" ref="L21:L28" si="4">ROUND((G21-I21)*K21*12,0)</f>
        <v>6381</v>
      </c>
      <c r="N21" s="174">
        <f t="shared" ref="N21:N28" si="5">$D21*$K21*12</f>
        <v>16107.72</v>
      </c>
      <c r="O21" s="174">
        <f t="shared" ref="O21:O28" si="6">$E21*$K21*12</f>
        <v>10103.64</v>
      </c>
      <c r="P21" s="174">
        <f t="shared" ref="P21:P28" si="7">$F21*$K21*12</f>
        <v>17130.291242017338</v>
      </c>
      <c r="Q21" s="174">
        <f t="shared" ref="Q21:Q28" si="8">SUM(N21:P21)</f>
        <v>43341.651242017339</v>
      </c>
    </row>
    <row r="22" spans="1:17">
      <c r="A22" s="1" t="s">
        <v>13</v>
      </c>
      <c r="B22" s="18">
        <v>101</v>
      </c>
      <c r="C22" s="1">
        <v>52</v>
      </c>
      <c r="D22" s="186">
        <f t="shared" si="0"/>
        <v>6.03</v>
      </c>
      <c r="E22" s="14">
        <f>'Schedule 2'!$H$13</f>
        <v>4.17</v>
      </c>
      <c r="F22" s="14">
        <f>'Schedule 4'!$H18</f>
        <v>4.9681626734874031</v>
      </c>
      <c r="G22" s="254">
        <f t="shared" si="1"/>
        <v>15.168162673487402</v>
      </c>
      <c r="H22" s="262">
        <f t="shared" si="2"/>
        <v>2177298.7428030754</v>
      </c>
      <c r="I22" s="171">
        <f>+'2007 Stlgt Rates'!I20</f>
        <v>13.23</v>
      </c>
      <c r="J22" s="172">
        <f t="shared" si="3"/>
        <v>0.14649755657501151</v>
      </c>
      <c r="K22" s="20">
        <f>+'Schedule 1'!C14</f>
        <v>11962</v>
      </c>
      <c r="L22" s="174">
        <f t="shared" si="4"/>
        <v>278212</v>
      </c>
      <c r="N22" s="174">
        <f t="shared" si="5"/>
        <v>865570.32000000007</v>
      </c>
      <c r="O22" s="174">
        <f t="shared" si="6"/>
        <v>598578.48</v>
      </c>
      <c r="P22" s="174">
        <f t="shared" si="7"/>
        <v>713149.94280307577</v>
      </c>
      <c r="Q22" s="174">
        <f t="shared" si="8"/>
        <v>2177298.7428030758</v>
      </c>
    </row>
    <row r="23" spans="1:17">
      <c r="A23" s="1" t="s">
        <v>14</v>
      </c>
      <c r="B23" s="18">
        <v>102</v>
      </c>
      <c r="C23" s="1">
        <v>69</v>
      </c>
      <c r="D23" s="186">
        <f t="shared" si="0"/>
        <v>8</v>
      </c>
      <c r="E23" s="14">
        <f>'Schedule 2'!$H$12</f>
        <v>3.13</v>
      </c>
      <c r="F23" s="14">
        <f>'Schedule 4'!$H19</f>
        <v>4.92032934015407</v>
      </c>
      <c r="G23" s="254">
        <f t="shared" si="1"/>
        <v>16.050329340154068</v>
      </c>
      <c r="H23" s="262">
        <f t="shared" si="2"/>
        <v>606702.44905782375</v>
      </c>
      <c r="I23" s="171">
        <f>+'2007 Stlgt Rates'!I22</f>
        <v>15.59</v>
      </c>
      <c r="J23" s="172">
        <f t="shared" si="3"/>
        <v>2.9527218739837657E-2</v>
      </c>
      <c r="K23" s="20">
        <f>+'Schedule 1'!C15</f>
        <v>3150</v>
      </c>
      <c r="L23" s="174">
        <f t="shared" si="4"/>
        <v>17400</v>
      </c>
      <c r="N23" s="174">
        <f t="shared" si="5"/>
        <v>302400</v>
      </c>
      <c r="O23" s="174">
        <f t="shared" si="6"/>
        <v>118314</v>
      </c>
      <c r="P23" s="174">
        <f t="shared" si="7"/>
        <v>185988.44905782383</v>
      </c>
      <c r="Q23" s="174">
        <f t="shared" si="8"/>
        <v>606702.44905782386</v>
      </c>
    </row>
    <row r="24" spans="1:17">
      <c r="A24" s="1" t="s">
        <v>15</v>
      </c>
      <c r="B24" s="18">
        <v>103</v>
      </c>
      <c r="C24" s="1">
        <v>97</v>
      </c>
      <c r="D24" s="186">
        <f t="shared" si="0"/>
        <v>11.25</v>
      </c>
      <c r="E24" s="14">
        <f>'Schedule 2'!$H$12</f>
        <v>3.13</v>
      </c>
      <c r="F24" s="14">
        <f>'Schedule 4'!$H20</f>
        <v>6.2643817734874032</v>
      </c>
      <c r="G24" s="254">
        <f t="shared" si="1"/>
        <v>20.644381773487403</v>
      </c>
      <c r="H24" s="262">
        <f t="shared" si="2"/>
        <v>284644.73589284433</v>
      </c>
      <c r="I24" s="171">
        <f>+'2007 Stlgt Rates'!I24</f>
        <v>19.91</v>
      </c>
      <c r="J24" s="172">
        <f t="shared" si="3"/>
        <v>3.688507149610265E-2</v>
      </c>
      <c r="K24" s="20">
        <f>+'Schedule 1'!C16</f>
        <v>1149</v>
      </c>
      <c r="L24" s="174">
        <f t="shared" si="4"/>
        <v>10126</v>
      </c>
      <c r="N24" s="174">
        <f t="shared" si="5"/>
        <v>155115</v>
      </c>
      <c r="O24" s="174">
        <f t="shared" si="6"/>
        <v>43156.44</v>
      </c>
      <c r="P24" s="174">
        <f t="shared" si="7"/>
        <v>86373.295892844311</v>
      </c>
      <c r="Q24" s="174">
        <f t="shared" si="8"/>
        <v>284644.73589284433</v>
      </c>
    </row>
    <row r="25" spans="1:17">
      <c r="A25" s="1" t="s">
        <v>16</v>
      </c>
      <c r="B25" s="18">
        <v>104</v>
      </c>
      <c r="C25" s="1">
        <v>154</v>
      </c>
      <c r="D25" s="186">
        <f t="shared" si="0"/>
        <v>17.86</v>
      </c>
      <c r="E25" s="14">
        <f>'Schedule 2'!$H$12</f>
        <v>3.13</v>
      </c>
      <c r="F25" s="14">
        <f>'Schedule 4'!$H21</f>
        <v>6.4020051068207353</v>
      </c>
      <c r="G25" s="254">
        <f t="shared" si="1"/>
        <v>27.392005106820733</v>
      </c>
      <c r="H25" s="262">
        <f t="shared" si="2"/>
        <v>487796.82694226364</v>
      </c>
      <c r="I25" s="171">
        <f>+'2007 Stlgt Rates'!I27</f>
        <v>29.05</v>
      </c>
      <c r="J25" s="172">
        <f t="shared" si="3"/>
        <v>-5.7073834532849199E-2</v>
      </c>
      <c r="K25" s="20">
        <f>+'Schedule 1'!C17</f>
        <v>1484</v>
      </c>
      <c r="L25" s="174">
        <f t="shared" si="4"/>
        <v>-29526</v>
      </c>
      <c r="N25" s="174">
        <f t="shared" si="5"/>
        <v>318050.88</v>
      </c>
      <c r="O25" s="174">
        <f t="shared" si="6"/>
        <v>55739.040000000001</v>
      </c>
      <c r="P25" s="174">
        <f t="shared" si="7"/>
        <v>114006.90694226365</v>
      </c>
      <c r="Q25" s="174">
        <f t="shared" si="8"/>
        <v>487796.82694226364</v>
      </c>
    </row>
    <row r="26" spans="1:17">
      <c r="A26" s="1" t="s">
        <v>17</v>
      </c>
      <c r="B26" s="18">
        <v>105</v>
      </c>
      <c r="C26" s="1">
        <v>260</v>
      </c>
      <c r="D26" s="186">
        <f t="shared" si="0"/>
        <v>30.15</v>
      </c>
      <c r="E26" s="14">
        <f>'Schedule 2'!$H$12</f>
        <v>3.13</v>
      </c>
      <c r="F26" s="14">
        <f>'Schedule 4'!$H22</f>
        <v>8.4292637734874045</v>
      </c>
      <c r="G26" s="254">
        <f t="shared" si="1"/>
        <v>41.709263773487407</v>
      </c>
      <c r="H26" s="262">
        <f t="shared" si="2"/>
        <v>6006.1339833821867</v>
      </c>
      <c r="I26" s="171">
        <f>+'2007 Stlgt Rates'!I29</f>
        <v>54.43</v>
      </c>
      <c r="J26" s="172">
        <f t="shared" si="3"/>
        <v>-0.23370817979997416</v>
      </c>
      <c r="K26" s="20">
        <f>+'Schedule 1'!C18</f>
        <v>12</v>
      </c>
      <c r="L26" s="174">
        <f t="shared" si="4"/>
        <v>-1832</v>
      </c>
      <c r="N26" s="174">
        <f t="shared" si="5"/>
        <v>4341.5999999999995</v>
      </c>
      <c r="O26" s="174">
        <f t="shared" si="6"/>
        <v>450.72</v>
      </c>
      <c r="P26" s="174">
        <f t="shared" si="7"/>
        <v>1213.8139833821861</v>
      </c>
      <c r="Q26" s="174">
        <f t="shared" si="8"/>
        <v>6006.1339833821858</v>
      </c>
    </row>
    <row r="27" spans="1:17">
      <c r="A27" s="1" t="s">
        <v>18</v>
      </c>
      <c r="B27" s="18">
        <v>106</v>
      </c>
      <c r="C27" s="1">
        <v>363</v>
      </c>
      <c r="D27" s="186">
        <f t="shared" si="0"/>
        <v>42.09</v>
      </c>
      <c r="E27" s="14">
        <f>'Schedule 2'!$H$12</f>
        <v>3.13</v>
      </c>
      <c r="F27" s="14">
        <f>'Schedule 4'!$H23</f>
        <v>10.126991773487402</v>
      </c>
      <c r="G27" s="254">
        <f t="shared" si="1"/>
        <v>55.34699177348741</v>
      </c>
      <c r="H27" s="262">
        <f t="shared" si="2"/>
        <v>50476.45649742052</v>
      </c>
      <c r="I27" s="171">
        <f>+'2007 Stlgt Rates'!I31</f>
        <v>70.23</v>
      </c>
      <c r="J27" s="172">
        <f t="shared" si="3"/>
        <v>-0.21191810090435137</v>
      </c>
      <c r="K27" s="20">
        <f>+'Schedule 1'!C19</f>
        <v>76</v>
      </c>
      <c r="L27" s="174">
        <f t="shared" si="4"/>
        <v>-13573</v>
      </c>
      <c r="N27" s="174">
        <f t="shared" si="5"/>
        <v>38386.080000000002</v>
      </c>
      <c r="O27" s="174">
        <f t="shared" si="6"/>
        <v>2854.56</v>
      </c>
      <c r="P27" s="174">
        <f t="shared" si="7"/>
        <v>9235.8164974205101</v>
      </c>
      <c r="Q27" s="174">
        <f t="shared" si="8"/>
        <v>50476.456497420513</v>
      </c>
    </row>
    <row r="28" spans="1:17">
      <c r="A28" s="1" t="s">
        <v>19</v>
      </c>
      <c r="B28" s="18">
        <v>107</v>
      </c>
      <c r="C28" s="1">
        <v>213</v>
      </c>
      <c r="D28" s="186">
        <f>ROUND(+C28*H$159,2)</f>
        <v>19.14</v>
      </c>
      <c r="E28" s="14">
        <f>'Schedule 2'!$H$12*2</f>
        <v>6.26</v>
      </c>
      <c r="F28" s="14">
        <f>'Schedule 4'!$H24</f>
        <v>6.2643817734874032</v>
      </c>
      <c r="G28" s="254">
        <f t="shared" si="1"/>
        <v>31.664381773487403</v>
      </c>
      <c r="H28" s="262">
        <f t="shared" si="2"/>
        <v>1899.862906409244</v>
      </c>
      <c r="I28" s="171">
        <f>+'2007 Stlgt Rates'!I25</f>
        <v>30.42</v>
      </c>
      <c r="J28" s="172">
        <f t="shared" si="3"/>
        <v>4.0906698668224939E-2</v>
      </c>
      <c r="K28" s="20">
        <f>+'Schedule 1'!C20</f>
        <v>5</v>
      </c>
      <c r="L28" s="174">
        <f t="shared" si="4"/>
        <v>75</v>
      </c>
      <c r="N28" s="174">
        <f t="shared" si="5"/>
        <v>1148.4000000000001</v>
      </c>
      <c r="O28" s="174">
        <f t="shared" si="6"/>
        <v>375.59999999999997</v>
      </c>
      <c r="P28" s="174">
        <f t="shared" si="7"/>
        <v>375.8629064092442</v>
      </c>
      <c r="Q28" s="174">
        <f t="shared" si="8"/>
        <v>1899.8629064092443</v>
      </c>
    </row>
    <row r="29" spans="1:17">
      <c r="B29" s="18"/>
      <c r="E29" s="14"/>
      <c r="F29" s="14"/>
      <c r="G29" s="254"/>
      <c r="H29" s="262"/>
    </row>
    <row r="30" spans="1:17">
      <c r="A30" s="1" t="s">
        <v>13</v>
      </c>
      <c r="B30" s="18">
        <v>201</v>
      </c>
      <c r="C30" s="1">
        <v>52</v>
      </c>
      <c r="D30" s="186">
        <f t="shared" ref="D30:D35" si="9">ROUND(+C30*H$150,2)</f>
        <v>6.03</v>
      </c>
      <c r="E30" s="14">
        <f>'Schedule 2'!$H$13</f>
        <v>4.17</v>
      </c>
      <c r="F30" s="14">
        <v>0</v>
      </c>
      <c r="G30" s="254">
        <f t="shared" ref="G30:G35" si="10">SUM(D30:F30)</f>
        <v>10.199999999999999</v>
      </c>
      <c r="H30" s="262">
        <f t="shared" ref="H30:H35" si="11">G30*K30*12</f>
        <v>1101.5999999999999</v>
      </c>
      <c r="I30" s="171">
        <f>+'2007 Stlgt Rates'!I21</f>
        <v>9.56</v>
      </c>
      <c r="J30" s="172">
        <f t="shared" ref="J30:J35" si="12">+G30/I30-1</f>
        <v>6.6945606694560622E-2</v>
      </c>
      <c r="K30" s="20">
        <f>+'Schedule 1'!D14</f>
        <v>9</v>
      </c>
      <c r="L30" s="174">
        <f t="shared" ref="L30:L35" si="13">ROUND((G30-I30)*K30*12,0)</f>
        <v>69</v>
      </c>
      <c r="N30" s="174">
        <f t="shared" ref="N30:N35" si="14">$D30*$K30*12</f>
        <v>651.24</v>
      </c>
      <c r="O30" s="174">
        <f t="shared" ref="O30:O35" si="15">$E30*$K30*12</f>
        <v>450.36</v>
      </c>
      <c r="P30" s="174">
        <f t="shared" ref="P30:P35" si="16">$F30*$K30*12</f>
        <v>0</v>
      </c>
      <c r="Q30" s="174">
        <f t="shared" ref="Q30:Q35" si="17">SUM(N30:P30)</f>
        <v>1101.5999999999999</v>
      </c>
    </row>
    <row r="31" spans="1:17">
      <c r="A31" s="1" t="s">
        <v>14</v>
      </c>
      <c r="B31" s="18">
        <v>202</v>
      </c>
      <c r="C31" s="1">
        <v>69</v>
      </c>
      <c r="D31" s="186">
        <f t="shared" si="9"/>
        <v>8</v>
      </c>
      <c r="E31" s="14">
        <f>'Schedule 2'!$H$12</f>
        <v>3.13</v>
      </c>
      <c r="F31" s="14">
        <v>0</v>
      </c>
      <c r="G31" s="254">
        <f t="shared" si="10"/>
        <v>11.129999999999999</v>
      </c>
      <c r="H31" s="262">
        <f t="shared" si="11"/>
        <v>3205.44</v>
      </c>
      <c r="I31" s="171">
        <f>+'2007 Stlgt Rates'!I23</f>
        <v>11.75</v>
      </c>
      <c r="J31" s="172">
        <f t="shared" si="12"/>
        <v>-5.2765957446808565E-2</v>
      </c>
      <c r="K31" s="20">
        <f>+'Schedule 1'!D15</f>
        <v>24</v>
      </c>
      <c r="L31" s="174">
        <f t="shared" si="13"/>
        <v>-179</v>
      </c>
      <c r="N31" s="174">
        <f t="shared" si="14"/>
        <v>2304</v>
      </c>
      <c r="O31" s="174">
        <f t="shared" si="15"/>
        <v>901.44</v>
      </c>
      <c r="P31" s="174">
        <f t="shared" si="16"/>
        <v>0</v>
      </c>
      <c r="Q31" s="174">
        <f t="shared" si="17"/>
        <v>3205.44</v>
      </c>
    </row>
    <row r="32" spans="1:17">
      <c r="A32" s="1" t="s">
        <v>15</v>
      </c>
      <c r="B32" s="18">
        <v>203</v>
      </c>
      <c r="C32" s="1">
        <v>97</v>
      </c>
      <c r="D32" s="186">
        <f t="shared" si="9"/>
        <v>11.25</v>
      </c>
      <c r="E32" s="14">
        <f>'Schedule 2'!$H$12</f>
        <v>3.13</v>
      </c>
      <c r="F32" s="14">
        <v>0</v>
      </c>
      <c r="G32" s="254">
        <f t="shared" si="10"/>
        <v>14.379999999999999</v>
      </c>
      <c r="H32" s="262">
        <f t="shared" si="11"/>
        <v>5867.0399999999991</v>
      </c>
      <c r="I32" s="171">
        <f>+'2007 Stlgt Rates'!I26</f>
        <v>15.96</v>
      </c>
      <c r="J32" s="172">
        <f t="shared" si="12"/>
        <v>-9.8997493734335973E-2</v>
      </c>
      <c r="K32" s="20">
        <f>+'Schedule 1'!D16</f>
        <v>34</v>
      </c>
      <c r="L32" s="174">
        <f t="shared" si="13"/>
        <v>-645</v>
      </c>
      <c r="N32" s="174">
        <f t="shared" si="14"/>
        <v>4590</v>
      </c>
      <c r="O32" s="174">
        <f t="shared" si="15"/>
        <v>1277.04</v>
      </c>
      <c r="P32" s="174">
        <f t="shared" si="16"/>
        <v>0</v>
      </c>
      <c r="Q32" s="174">
        <f t="shared" si="17"/>
        <v>5867.04</v>
      </c>
    </row>
    <row r="33" spans="1:17">
      <c r="A33" s="1" t="s">
        <v>16</v>
      </c>
      <c r="B33" s="18">
        <v>204</v>
      </c>
      <c r="C33" s="1">
        <v>154</v>
      </c>
      <c r="D33" s="186">
        <f t="shared" si="9"/>
        <v>17.86</v>
      </c>
      <c r="E33" s="14">
        <f>'Schedule 2'!$H$12</f>
        <v>3.13</v>
      </c>
      <c r="F33" s="14">
        <v>0</v>
      </c>
      <c r="G33" s="254">
        <f t="shared" si="10"/>
        <v>20.99</v>
      </c>
      <c r="H33" s="262">
        <f t="shared" si="11"/>
        <v>2518.7999999999997</v>
      </c>
      <c r="I33" s="171">
        <f>+'2007 Stlgt Rates'!I28</f>
        <v>24.63</v>
      </c>
      <c r="J33" s="172">
        <f t="shared" si="12"/>
        <v>-0.14778725131952908</v>
      </c>
      <c r="K33" s="20">
        <f>+'Schedule 1'!D17</f>
        <v>10</v>
      </c>
      <c r="L33" s="174">
        <f t="shared" si="13"/>
        <v>-437</v>
      </c>
      <c r="N33" s="174">
        <f t="shared" si="14"/>
        <v>2143.1999999999998</v>
      </c>
      <c r="O33" s="174">
        <f t="shared" si="15"/>
        <v>375.59999999999997</v>
      </c>
      <c r="P33" s="174">
        <f t="shared" si="16"/>
        <v>0</v>
      </c>
      <c r="Q33" s="174">
        <f t="shared" si="17"/>
        <v>2518.7999999999997</v>
      </c>
    </row>
    <row r="34" spans="1:17">
      <c r="A34" s="1" t="s">
        <v>17</v>
      </c>
      <c r="B34" s="18">
        <v>205</v>
      </c>
      <c r="C34" s="1">
        <v>260</v>
      </c>
      <c r="D34" s="186">
        <f t="shared" si="9"/>
        <v>30.15</v>
      </c>
      <c r="E34" s="14">
        <f>'Schedule 2'!$H$12</f>
        <v>3.13</v>
      </c>
      <c r="F34" s="14">
        <v>0</v>
      </c>
      <c r="G34" s="254">
        <f t="shared" si="10"/>
        <v>33.28</v>
      </c>
      <c r="H34" s="262">
        <f t="shared" si="11"/>
        <v>0</v>
      </c>
      <c r="I34" s="171">
        <f>+'2007 Stlgt Rates'!I30</f>
        <v>40.700000000000003</v>
      </c>
      <c r="J34" s="172">
        <f t="shared" si="12"/>
        <v>-0.18230958230958239</v>
      </c>
      <c r="K34" s="20">
        <f>+'Schedule 1'!D18</f>
        <v>0</v>
      </c>
      <c r="L34" s="174">
        <f t="shared" si="13"/>
        <v>0</v>
      </c>
      <c r="N34" s="174">
        <f t="shared" si="14"/>
        <v>0</v>
      </c>
      <c r="O34" s="174">
        <f t="shared" si="15"/>
        <v>0</v>
      </c>
      <c r="P34" s="174">
        <f t="shared" si="16"/>
        <v>0</v>
      </c>
      <c r="Q34" s="174">
        <f t="shared" si="17"/>
        <v>0</v>
      </c>
    </row>
    <row r="35" spans="1:17">
      <c r="A35" s="1" t="s">
        <v>18</v>
      </c>
      <c r="B35" s="18">
        <v>206</v>
      </c>
      <c r="C35" s="1">
        <v>363</v>
      </c>
      <c r="D35" s="186">
        <f t="shared" si="9"/>
        <v>42.09</v>
      </c>
      <c r="E35" s="14">
        <f>'Schedule 2'!$H$12</f>
        <v>3.13</v>
      </c>
      <c r="F35" s="14">
        <v>0</v>
      </c>
      <c r="G35" s="254">
        <f t="shared" si="10"/>
        <v>45.220000000000006</v>
      </c>
      <c r="H35" s="262">
        <f t="shared" si="11"/>
        <v>9224.880000000001</v>
      </c>
      <c r="I35" s="171">
        <f>+'2007 Stlgt Rates'!I32</f>
        <v>56.33</v>
      </c>
      <c r="J35" s="172">
        <f t="shared" si="12"/>
        <v>-0.1972306053612638</v>
      </c>
      <c r="K35" s="20">
        <f>+'Schedule 1'!D19</f>
        <v>17</v>
      </c>
      <c r="L35" s="174">
        <f t="shared" si="13"/>
        <v>-2266</v>
      </c>
      <c r="N35" s="174">
        <f t="shared" si="14"/>
        <v>8586.36</v>
      </c>
      <c r="O35" s="174">
        <f t="shared" si="15"/>
        <v>638.52</v>
      </c>
      <c r="P35" s="174">
        <f t="shared" si="16"/>
        <v>0</v>
      </c>
      <c r="Q35" s="174">
        <f t="shared" si="17"/>
        <v>9224.880000000001</v>
      </c>
    </row>
    <row r="36" spans="1:17">
      <c r="B36" s="18"/>
      <c r="E36" s="14"/>
      <c r="F36" s="14"/>
      <c r="G36" s="254"/>
      <c r="H36" s="262"/>
    </row>
    <row r="37" spans="1:17" ht="15.75">
      <c r="A37" s="176" t="s">
        <v>13</v>
      </c>
      <c r="B37" s="183">
        <v>301</v>
      </c>
      <c r="C37" s="176">
        <v>52</v>
      </c>
      <c r="D37" s="177">
        <f t="shared" ref="D37:D42" si="18">ROUND(+C37*H$150,2)</f>
        <v>6.03</v>
      </c>
      <c r="E37" s="178">
        <v>0</v>
      </c>
      <c r="F37" s="178">
        <v>0</v>
      </c>
      <c r="G37" s="255">
        <f t="shared" ref="G37:G42" si="19">SUM(D37:F37)</f>
        <v>6.03</v>
      </c>
      <c r="H37" s="264">
        <f t="shared" ref="H37:H42" si="20">G37*K37*12</f>
        <v>795.96</v>
      </c>
      <c r="I37" s="179">
        <f>+'2007 Stlgt Rates'!F123</f>
        <v>6.0055108000000006</v>
      </c>
      <c r="J37" s="180">
        <f t="shared" ref="J37:J42" si="21">+G37/I37-1</f>
        <v>4.0777880209623696E-3</v>
      </c>
      <c r="K37" s="181">
        <f>+'Schedule 1'!E14</f>
        <v>11</v>
      </c>
      <c r="L37" s="182">
        <f t="shared" ref="L37:L42" si="22">ROUND((G37-I37)*K37*12,0)</f>
        <v>3</v>
      </c>
      <c r="N37" s="243">
        <f t="shared" ref="N37:N42" si="23">$D37*$K37*12</f>
        <v>795.96</v>
      </c>
      <c r="O37" s="243">
        <f t="shared" ref="O37:O42" si="24">$E37*$K37*12</f>
        <v>0</v>
      </c>
      <c r="P37" s="243">
        <f t="shared" ref="P37:P42" si="25">$F37*$K37*12</f>
        <v>0</v>
      </c>
      <c r="Q37" s="243">
        <f t="shared" ref="Q37:Q42" si="26">SUM(N37:P37)</f>
        <v>795.96</v>
      </c>
    </row>
    <row r="38" spans="1:17" ht="15.75">
      <c r="A38" s="176" t="s">
        <v>14</v>
      </c>
      <c r="B38" s="183">
        <v>302</v>
      </c>
      <c r="C38" s="176">
        <v>69</v>
      </c>
      <c r="D38" s="177">
        <f t="shared" si="18"/>
        <v>8</v>
      </c>
      <c r="E38" s="178">
        <v>0</v>
      </c>
      <c r="F38" s="178">
        <v>0</v>
      </c>
      <c r="G38" s="255">
        <f t="shared" si="19"/>
        <v>8</v>
      </c>
      <c r="H38" s="264">
        <f t="shared" si="20"/>
        <v>14688</v>
      </c>
      <c r="I38" s="179">
        <f>+'2007 Stlgt Rates'!F124</f>
        <v>7.9882992000000002</v>
      </c>
      <c r="J38" s="180">
        <f t="shared" si="21"/>
        <v>1.464742332135005E-3</v>
      </c>
      <c r="K38" s="181">
        <f>+'Schedule 1'!E15</f>
        <v>153</v>
      </c>
      <c r="L38" s="182">
        <f t="shared" si="22"/>
        <v>21</v>
      </c>
      <c r="N38" s="243">
        <f t="shared" si="23"/>
        <v>14688</v>
      </c>
      <c r="O38" s="243">
        <f t="shared" si="24"/>
        <v>0</v>
      </c>
      <c r="P38" s="243">
        <f t="shared" si="25"/>
        <v>0</v>
      </c>
      <c r="Q38" s="243">
        <f t="shared" si="26"/>
        <v>14688</v>
      </c>
    </row>
    <row r="39" spans="1:17" ht="15.75">
      <c r="A39" s="176" t="s">
        <v>15</v>
      </c>
      <c r="B39" s="183">
        <v>303</v>
      </c>
      <c r="C39" s="176">
        <v>97</v>
      </c>
      <c r="D39" s="177">
        <f t="shared" si="18"/>
        <v>11.25</v>
      </c>
      <c r="E39" s="178">
        <v>0</v>
      </c>
      <c r="F39" s="178">
        <v>0</v>
      </c>
      <c r="G39" s="255">
        <f t="shared" si="19"/>
        <v>11.25</v>
      </c>
      <c r="H39" s="264">
        <f t="shared" si="20"/>
        <v>7290</v>
      </c>
      <c r="I39" s="179">
        <f>+'2007 Stlgt Rates'!F125</f>
        <v>11.246684399999999</v>
      </c>
      <c r="J39" s="180">
        <f t="shared" si="21"/>
        <v>2.9480688548533251E-4</v>
      </c>
      <c r="K39" s="181">
        <f>+'Schedule 1'!E16</f>
        <v>54</v>
      </c>
      <c r="L39" s="182">
        <f t="shared" si="22"/>
        <v>2</v>
      </c>
      <c r="N39" s="243">
        <f t="shared" si="23"/>
        <v>7290</v>
      </c>
      <c r="O39" s="243">
        <f t="shared" si="24"/>
        <v>0</v>
      </c>
      <c r="P39" s="243">
        <f t="shared" si="25"/>
        <v>0</v>
      </c>
      <c r="Q39" s="243">
        <f t="shared" si="26"/>
        <v>7290</v>
      </c>
    </row>
    <row r="40" spans="1:17" ht="15.75">
      <c r="A40" s="176" t="s">
        <v>16</v>
      </c>
      <c r="B40" s="183">
        <v>304</v>
      </c>
      <c r="C40" s="176">
        <v>154</v>
      </c>
      <c r="D40" s="177">
        <f t="shared" si="18"/>
        <v>17.86</v>
      </c>
      <c r="E40" s="178">
        <v>0</v>
      </c>
      <c r="F40" s="178">
        <v>0</v>
      </c>
      <c r="G40" s="255">
        <f t="shared" si="19"/>
        <v>17.86</v>
      </c>
      <c r="H40" s="264">
        <f t="shared" si="20"/>
        <v>3429.12</v>
      </c>
      <c r="I40" s="179">
        <f>+'2007 Stlgt Rates'!F126</f>
        <v>17.856885199999997</v>
      </c>
      <c r="J40" s="180">
        <f t="shared" si="21"/>
        <v>1.7443131683481106E-4</v>
      </c>
      <c r="K40" s="181">
        <f>+'Schedule 1'!E17</f>
        <v>16</v>
      </c>
      <c r="L40" s="182">
        <f t="shared" si="22"/>
        <v>1</v>
      </c>
      <c r="N40" s="243">
        <f t="shared" si="23"/>
        <v>3429.12</v>
      </c>
      <c r="O40" s="243">
        <f t="shared" si="24"/>
        <v>0</v>
      </c>
      <c r="P40" s="243">
        <f t="shared" si="25"/>
        <v>0</v>
      </c>
      <c r="Q40" s="243">
        <f t="shared" si="26"/>
        <v>3429.12</v>
      </c>
    </row>
    <row r="41" spans="1:17" ht="15.75">
      <c r="A41" s="176" t="s">
        <v>17</v>
      </c>
      <c r="B41" s="183">
        <v>305</v>
      </c>
      <c r="C41" s="176">
        <v>260</v>
      </c>
      <c r="D41" s="177">
        <f t="shared" si="18"/>
        <v>30.15</v>
      </c>
      <c r="E41" s="178">
        <v>0</v>
      </c>
      <c r="F41" s="178">
        <v>0</v>
      </c>
      <c r="G41" s="255">
        <f t="shared" si="19"/>
        <v>30.15</v>
      </c>
      <c r="H41" s="264">
        <f t="shared" si="20"/>
        <v>361.79999999999995</v>
      </c>
      <c r="I41" s="179">
        <f>+'2007 Stlgt Rates'!F127</f>
        <v>30.133911599999998</v>
      </c>
      <c r="J41" s="180">
        <f t="shared" si="21"/>
        <v>5.3389683402405019E-4</v>
      </c>
      <c r="K41" s="181">
        <f>+'Schedule 1'!E18</f>
        <v>1</v>
      </c>
      <c r="L41" s="182">
        <f t="shared" si="22"/>
        <v>0</v>
      </c>
      <c r="N41" s="243">
        <f t="shared" si="23"/>
        <v>361.79999999999995</v>
      </c>
      <c r="O41" s="243">
        <f t="shared" si="24"/>
        <v>0</v>
      </c>
      <c r="P41" s="243">
        <f t="shared" si="25"/>
        <v>0</v>
      </c>
      <c r="Q41" s="243">
        <f t="shared" si="26"/>
        <v>361.79999999999995</v>
      </c>
    </row>
    <row r="42" spans="1:17" ht="15.75">
      <c r="A42" s="176" t="s">
        <v>18</v>
      </c>
      <c r="B42" s="183">
        <v>306</v>
      </c>
      <c r="C42" s="176">
        <v>363</v>
      </c>
      <c r="D42" s="177">
        <f t="shared" si="18"/>
        <v>42.09</v>
      </c>
      <c r="E42" s="178">
        <v>0</v>
      </c>
      <c r="F42" s="178">
        <v>0</v>
      </c>
      <c r="G42" s="255">
        <f t="shared" si="19"/>
        <v>42.09</v>
      </c>
      <c r="H42" s="263">
        <f t="shared" si="20"/>
        <v>3535.56</v>
      </c>
      <c r="I42" s="179">
        <f>+'2007 Stlgt Rates'!F128</f>
        <v>42.102073999999995</v>
      </c>
      <c r="J42" s="180">
        <f t="shared" si="21"/>
        <v>-2.8677922137498868E-4</v>
      </c>
      <c r="K42" s="184">
        <f>+'Schedule 1'!E19</f>
        <v>7</v>
      </c>
      <c r="L42" s="200">
        <f t="shared" si="22"/>
        <v>-1</v>
      </c>
      <c r="N42" s="243">
        <f t="shared" si="23"/>
        <v>3535.56</v>
      </c>
      <c r="O42" s="243">
        <f t="shared" si="24"/>
        <v>0</v>
      </c>
      <c r="P42" s="243">
        <f t="shared" si="25"/>
        <v>0</v>
      </c>
      <c r="Q42" s="243">
        <f t="shared" si="26"/>
        <v>3535.56</v>
      </c>
    </row>
    <row r="43" spans="1:17">
      <c r="B43" s="18"/>
      <c r="E43" s="14"/>
      <c r="F43" s="14"/>
      <c r="G43" s="254"/>
      <c r="H43" s="262">
        <f>SUM(H21:H42)</f>
        <v>3710185.0593252359</v>
      </c>
      <c r="K43" s="20">
        <f>SUM(K21:K42)</f>
        <v>18443</v>
      </c>
      <c r="L43" s="174">
        <f>SUM(L21:L42)</f>
        <v>263831</v>
      </c>
    </row>
    <row r="44" spans="1:17" ht="15.75">
      <c r="A44" s="4" t="s">
        <v>76</v>
      </c>
      <c r="B44" s="12"/>
      <c r="E44" s="14"/>
      <c r="F44" s="14"/>
      <c r="G44" s="254"/>
      <c r="H44" s="262"/>
    </row>
    <row r="45" spans="1:17">
      <c r="B45" s="18"/>
      <c r="E45" s="14"/>
      <c r="F45" s="14"/>
      <c r="G45" s="254"/>
      <c r="H45" s="262"/>
    </row>
    <row r="46" spans="1:17">
      <c r="A46" s="1" t="s">
        <v>20</v>
      </c>
      <c r="B46" s="18">
        <v>110</v>
      </c>
      <c r="C46" s="1">
        <v>30</v>
      </c>
      <c r="D46" s="186">
        <f t="shared" ref="D46:D52" si="27">ROUND(+C46*H$150,2)</f>
        <v>3.48</v>
      </c>
      <c r="E46" s="14">
        <f>'Schedule 2'!$H$14</f>
        <v>6.25</v>
      </c>
      <c r="F46" s="14">
        <f>'Schedule 4'!$H25</f>
        <v>4.2985534068207363</v>
      </c>
      <c r="G46" s="254">
        <f t="shared" ref="G46:G52" si="28">SUM(D46:F46)</f>
        <v>14.028553406820738</v>
      </c>
      <c r="H46" s="262">
        <f t="shared" ref="H46:H52" si="29">G46*K46*12</f>
        <v>153696.831125128</v>
      </c>
      <c r="I46" s="171">
        <f>+'2007 Stlgt Rates'!I38</f>
        <v>10.97</v>
      </c>
      <c r="J46" s="172">
        <f t="shared" ref="J46:J52" si="30">+G46/I46-1</f>
        <v>0.27881070253607443</v>
      </c>
      <c r="K46" s="20">
        <f>+'Schedule 1'!C23</f>
        <v>913</v>
      </c>
      <c r="L46" s="174">
        <f t="shared" ref="L46:L52" si="31">ROUND((G46-I46)*K46*12,0)</f>
        <v>33510</v>
      </c>
      <c r="N46" s="174">
        <f t="shared" ref="N46:N52" si="32">$D46*$K46*12</f>
        <v>38126.879999999997</v>
      </c>
      <c r="O46" s="174">
        <f t="shared" ref="O46:O52" si="33">$E46*$K46*12</f>
        <v>68475</v>
      </c>
      <c r="P46" s="174">
        <f t="shared" ref="P46:P52" si="34">$F46*$K46*12</f>
        <v>47094.951125127991</v>
      </c>
      <c r="Q46" s="174">
        <f t="shared" ref="Q46:Q52" si="35">SUM(N46:P46)</f>
        <v>153696.831125128</v>
      </c>
    </row>
    <row r="47" spans="1:17">
      <c r="A47" s="1" t="s">
        <v>21</v>
      </c>
      <c r="B47" s="18">
        <v>111</v>
      </c>
      <c r="C47" s="1">
        <v>85</v>
      </c>
      <c r="D47" s="186">
        <f t="shared" si="27"/>
        <v>9.86</v>
      </c>
      <c r="E47" s="14">
        <f>'Schedule 2'!$H$14</f>
        <v>6.25</v>
      </c>
      <c r="F47" s="14">
        <f>'Schedule 4'!$H26</f>
        <v>4.733665906820737</v>
      </c>
      <c r="G47" s="254">
        <f t="shared" si="28"/>
        <v>20.843665906820736</v>
      </c>
      <c r="H47" s="262">
        <f t="shared" si="29"/>
        <v>38268.97060492287</v>
      </c>
      <c r="I47" s="171">
        <f>+'2007 Stlgt Rates'!I40</f>
        <v>19.93</v>
      </c>
      <c r="J47" s="172">
        <f t="shared" si="30"/>
        <v>4.5843748460649092E-2</v>
      </c>
      <c r="K47" s="20">
        <f>+'Schedule 1'!C24</f>
        <v>153</v>
      </c>
      <c r="L47" s="174">
        <f t="shared" si="31"/>
        <v>1677</v>
      </c>
      <c r="N47" s="174">
        <f t="shared" si="32"/>
        <v>18102.96</v>
      </c>
      <c r="O47" s="174">
        <f t="shared" si="33"/>
        <v>11475</v>
      </c>
      <c r="P47" s="174">
        <f t="shared" si="34"/>
        <v>8691.0106049228743</v>
      </c>
      <c r="Q47" s="174">
        <f t="shared" si="35"/>
        <v>38268.97060492287</v>
      </c>
    </row>
    <row r="48" spans="1:17">
      <c r="A48" s="1" t="s">
        <v>22</v>
      </c>
      <c r="B48" s="18">
        <v>112</v>
      </c>
      <c r="C48" s="1">
        <v>116</v>
      </c>
      <c r="D48" s="186">
        <f t="shared" si="27"/>
        <v>13.45</v>
      </c>
      <c r="E48" s="14">
        <f>'Schedule 2'!$H$14</f>
        <v>6.25</v>
      </c>
      <c r="F48" s="14">
        <f>'Schedule 4'!$H27</f>
        <v>5.5333367401540698</v>
      </c>
      <c r="G48" s="254">
        <f t="shared" si="28"/>
        <v>25.233336740154069</v>
      </c>
      <c r="H48" s="262">
        <f t="shared" si="29"/>
        <v>20590.40277996572</v>
      </c>
      <c r="I48" s="171">
        <f>+'2007 Stlgt Rates'!I46</f>
        <v>25.79</v>
      </c>
      <c r="J48" s="172">
        <f t="shared" si="30"/>
        <v>-2.1584461413180711E-2</v>
      </c>
      <c r="K48" s="20">
        <f>+'Schedule 1'!C25</f>
        <v>68</v>
      </c>
      <c r="L48" s="174">
        <f t="shared" si="31"/>
        <v>-454</v>
      </c>
      <c r="N48" s="174">
        <f t="shared" si="32"/>
        <v>10975.199999999999</v>
      </c>
      <c r="O48" s="174">
        <f t="shared" si="33"/>
        <v>5100</v>
      </c>
      <c r="P48" s="174">
        <f t="shared" si="34"/>
        <v>4515.2027799657208</v>
      </c>
      <c r="Q48" s="174">
        <f t="shared" si="35"/>
        <v>20590.40277996572</v>
      </c>
    </row>
    <row r="49" spans="1:17">
      <c r="A49" s="1" t="s">
        <v>23</v>
      </c>
      <c r="B49" s="18">
        <v>113</v>
      </c>
      <c r="C49" s="1">
        <v>222</v>
      </c>
      <c r="D49" s="186">
        <f t="shared" si="27"/>
        <v>25.74</v>
      </c>
      <c r="E49" s="14">
        <f>'Schedule 2'!$H$14</f>
        <v>6.25</v>
      </c>
      <c r="F49" s="14">
        <f>'Schedule 4'!$H28</f>
        <v>7.4979200734874043</v>
      </c>
      <c r="G49" s="254">
        <f t="shared" si="28"/>
        <v>39.487920073487402</v>
      </c>
      <c r="H49" s="262">
        <f t="shared" si="29"/>
        <v>7107.825613227732</v>
      </c>
      <c r="I49" s="171">
        <f>+'2007 Stlgt Rates'!I47</f>
        <v>44.73</v>
      </c>
      <c r="J49" s="172">
        <f t="shared" si="30"/>
        <v>-0.11719382800162292</v>
      </c>
      <c r="K49" s="20">
        <f>+'Schedule 1'!C26</f>
        <v>15</v>
      </c>
      <c r="L49" s="174">
        <f t="shared" si="31"/>
        <v>-944</v>
      </c>
      <c r="N49" s="174">
        <f t="shared" si="32"/>
        <v>4633.2</v>
      </c>
      <c r="O49" s="174">
        <f t="shared" si="33"/>
        <v>1125</v>
      </c>
      <c r="P49" s="174">
        <f t="shared" si="34"/>
        <v>1349.6256132277326</v>
      </c>
      <c r="Q49" s="174">
        <f t="shared" si="35"/>
        <v>7107.8256132277329</v>
      </c>
    </row>
    <row r="50" spans="1:17">
      <c r="A50" s="1" t="s">
        <v>24</v>
      </c>
      <c r="B50" s="18">
        <v>114</v>
      </c>
      <c r="C50" s="1">
        <v>47</v>
      </c>
      <c r="D50" s="186">
        <f t="shared" si="27"/>
        <v>5.45</v>
      </c>
      <c r="E50" s="14">
        <f>'Schedule 2'!$H$14</f>
        <v>6.25</v>
      </c>
      <c r="F50" s="14">
        <f>'Schedule 4'!$H29</f>
        <v>5.2135367401540691</v>
      </c>
      <c r="G50" s="254">
        <f t="shared" si="28"/>
        <v>16.913536740154068</v>
      </c>
      <c r="H50" s="262">
        <f t="shared" si="29"/>
        <v>1014.8122044092441</v>
      </c>
      <c r="I50" s="171">
        <f>+'2007 Stlgt Rates'!I49</f>
        <v>14.87</v>
      </c>
      <c r="J50" s="172">
        <f t="shared" si="30"/>
        <v>0.13742681507424814</v>
      </c>
      <c r="K50" s="20">
        <f>+'Schedule 1'!C27</f>
        <v>5</v>
      </c>
      <c r="L50" s="174">
        <f t="shared" si="31"/>
        <v>123</v>
      </c>
      <c r="N50" s="174">
        <f t="shared" si="32"/>
        <v>327</v>
      </c>
      <c r="O50" s="174">
        <f t="shared" si="33"/>
        <v>375</v>
      </c>
      <c r="P50" s="174">
        <f t="shared" si="34"/>
        <v>312.81220440924415</v>
      </c>
      <c r="Q50" s="174">
        <f t="shared" si="35"/>
        <v>1014.8122044092441</v>
      </c>
    </row>
    <row r="51" spans="1:17">
      <c r="A51" s="1" t="s">
        <v>25</v>
      </c>
      <c r="B51" s="18">
        <v>115</v>
      </c>
      <c r="C51" s="1">
        <v>60</v>
      </c>
      <c r="D51" s="186">
        <f t="shared" si="27"/>
        <v>6.96</v>
      </c>
      <c r="E51" s="14">
        <f>'Schedule 2'!$H$14</f>
        <v>6.25</v>
      </c>
      <c r="F51" s="14">
        <f>'Schedule 4'!$H30</f>
        <v>4.5510450734874031</v>
      </c>
      <c r="G51" s="254">
        <f t="shared" si="28"/>
        <v>17.761045073487402</v>
      </c>
      <c r="H51" s="262">
        <f t="shared" si="29"/>
        <v>426.26508176369765</v>
      </c>
      <c r="I51" s="171">
        <f>+'2007 Stlgt Rates'!I44</f>
        <v>15.85</v>
      </c>
      <c r="J51" s="172">
        <f t="shared" si="30"/>
        <v>0.12057066709699704</v>
      </c>
      <c r="K51" s="20">
        <f>+'Schedule 1'!C28</f>
        <v>2</v>
      </c>
      <c r="L51" s="174">
        <f t="shared" si="31"/>
        <v>46</v>
      </c>
      <c r="N51" s="174">
        <f t="shared" si="32"/>
        <v>167.04</v>
      </c>
      <c r="O51" s="174">
        <f t="shared" si="33"/>
        <v>150</v>
      </c>
      <c r="P51" s="174">
        <f t="shared" si="34"/>
        <v>109.22508176369767</v>
      </c>
      <c r="Q51" s="174">
        <f t="shared" si="35"/>
        <v>426.26508176369765</v>
      </c>
    </row>
    <row r="52" spans="1:17">
      <c r="A52" s="1" t="s">
        <v>26</v>
      </c>
      <c r="B52" s="18">
        <v>116</v>
      </c>
      <c r="C52" s="1">
        <v>166</v>
      </c>
      <c r="D52" s="186">
        <f t="shared" si="27"/>
        <v>19.25</v>
      </c>
      <c r="E52" s="14">
        <f>'Schedule 2'!$H$14</f>
        <v>6.25</v>
      </c>
      <c r="F52" s="14">
        <f>'Schedule 4'!$H31</f>
        <v>5.707415906820736</v>
      </c>
      <c r="G52" s="254">
        <f t="shared" si="28"/>
        <v>31.207415906820735</v>
      </c>
      <c r="H52" s="265">
        <f t="shared" si="29"/>
        <v>748.9779817636977</v>
      </c>
      <c r="I52" s="171">
        <f>+'2007 Stlgt Rates'!I42</f>
        <v>33.630000000000003</v>
      </c>
      <c r="J52" s="172">
        <f t="shared" si="30"/>
        <v>-7.2036398845651717E-2</v>
      </c>
      <c r="K52" s="10">
        <f>+'Schedule 1'!C29</f>
        <v>2</v>
      </c>
      <c r="L52" s="199">
        <f t="shared" si="31"/>
        <v>-58</v>
      </c>
      <c r="N52" s="174">
        <f t="shared" si="32"/>
        <v>462</v>
      </c>
      <c r="O52" s="174">
        <f t="shared" si="33"/>
        <v>150</v>
      </c>
      <c r="P52" s="174">
        <f t="shared" si="34"/>
        <v>136.97798176369767</v>
      </c>
      <c r="Q52" s="174">
        <f t="shared" si="35"/>
        <v>748.9779817636977</v>
      </c>
    </row>
    <row r="53" spans="1:17">
      <c r="B53" s="18"/>
      <c r="E53" s="14"/>
      <c r="F53" s="14"/>
      <c r="G53" s="254"/>
      <c r="H53" s="262">
        <f>SUM(H46:H52)</f>
        <v>221854.08539118097</v>
      </c>
      <c r="K53" s="20">
        <f>SUM(K46:K52)</f>
        <v>1158</v>
      </c>
      <c r="L53" s="174">
        <f>SUM(L46:L52)</f>
        <v>33900</v>
      </c>
    </row>
    <row r="54" spans="1:17">
      <c r="B54" s="18"/>
      <c r="E54" s="14"/>
      <c r="F54" s="14"/>
      <c r="G54" s="254"/>
      <c r="H54" s="262"/>
      <c r="K54" s="20"/>
    </row>
    <row r="55" spans="1:17">
      <c r="A55" s="1" t="s">
        <v>23</v>
      </c>
      <c r="B55" s="18">
        <v>213</v>
      </c>
      <c r="C55" s="1">
        <v>222</v>
      </c>
      <c r="D55" s="186">
        <f t="shared" ref="D55:D60" si="36">ROUND(+C55*H$150,2)</f>
        <v>25.74</v>
      </c>
      <c r="E55" s="14">
        <f>'Schedule 2'!$H$14</f>
        <v>6.25</v>
      </c>
      <c r="F55" s="14">
        <v>0</v>
      </c>
      <c r="G55" s="254">
        <f t="shared" ref="G55:G60" si="37">SUM(D55:F55)</f>
        <v>31.99</v>
      </c>
      <c r="H55" s="262">
        <f t="shared" ref="H55:H60" si="38">G55*K55*12</f>
        <v>0</v>
      </c>
      <c r="I55" s="171">
        <f>+'2007 Stlgt Rates'!I48</f>
        <v>35.659999999999997</v>
      </c>
      <c r="J55" s="172">
        <f t="shared" ref="J55:J60" si="39">+G55/I55-1</f>
        <v>-0.10291643297812669</v>
      </c>
      <c r="K55" s="20">
        <f>+'Schedule 1'!D26</f>
        <v>0</v>
      </c>
      <c r="L55" s="174">
        <f t="shared" ref="L55:L60" si="40">ROUND((G55-I55)*K55*12,0)</f>
        <v>0</v>
      </c>
      <c r="N55" s="174">
        <f t="shared" ref="N55:N62" si="41">$D55*$K55*12</f>
        <v>0</v>
      </c>
      <c r="O55" s="174">
        <f t="shared" ref="O55:O62" si="42">$E55*$K55*12</f>
        <v>0</v>
      </c>
      <c r="P55" s="174">
        <f t="shared" ref="P55:P62" si="43">$F55*$K55*12</f>
        <v>0</v>
      </c>
      <c r="Q55" s="174">
        <f t="shared" ref="Q55:Q62" si="44">SUM(N55:P55)</f>
        <v>0</v>
      </c>
    </row>
    <row r="56" spans="1:17">
      <c r="A56" s="1" t="s">
        <v>24</v>
      </c>
      <c r="B56" s="18">
        <v>214</v>
      </c>
      <c r="C56" s="1">
        <v>47</v>
      </c>
      <c r="D56" s="186">
        <f t="shared" si="36"/>
        <v>5.45</v>
      </c>
      <c r="E56" s="14">
        <f>'Schedule 2'!$H$14</f>
        <v>6.25</v>
      </c>
      <c r="F56" s="14">
        <v>0</v>
      </c>
      <c r="G56" s="254">
        <f t="shared" si="37"/>
        <v>11.7</v>
      </c>
      <c r="H56" s="262">
        <f t="shared" si="38"/>
        <v>3650.3999999999996</v>
      </c>
      <c r="I56" s="171">
        <f>+'2007 Stlgt Rates'!I50</f>
        <v>9.1199999999999992</v>
      </c>
      <c r="J56" s="172">
        <f t="shared" si="39"/>
        <v>0.28289473684210531</v>
      </c>
      <c r="K56" s="20">
        <f>+'Schedule 1'!D27</f>
        <v>26</v>
      </c>
      <c r="L56" s="174">
        <f t="shared" si="40"/>
        <v>805</v>
      </c>
      <c r="N56" s="174">
        <f t="shared" si="41"/>
        <v>1700.4</v>
      </c>
      <c r="O56" s="174">
        <f t="shared" si="42"/>
        <v>1950</v>
      </c>
      <c r="P56" s="174">
        <f t="shared" si="43"/>
        <v>0</v>
      </c>
      <c r="Q56" s="174">
        <f t="shared" si="44"/>
        <v>3650.4</v>
      </c>
    </row>
    <row r="57" spans="1:17">
      <c r="A57" s="1" t="s">
        <v>25</v>
      </c>
      <c r="B57" s="18">
        <v>215</v>
      </c>
      <c r="C57" s="1">
        <v>60</v>
      </c>
      <c r="D57" s="186">
        <f t="shared" si="36"/>
        <v>6.96</v>
      </c>
      <c r="E57" s="14">
        <f>'Schedule 2'!$H$14</f>
        <v>6.25</v>
      </c>
      <c r="F57" s="14">
        <v>0</v>
      </c>
      <c r="G57" s="254">
        <f t="shared" si="37"/>
        <v>13.21</v>
      </c>
      <c r="H57" s="262">
        <f t="shared" si="38"/>
        <v>475.56000000000006</v>
      </c>
      <c r="I57" s="171">
        <f>+'2007 Stlgt Rates'!I45</f>
        <v>11.13</v>
      </c>
      <c r="J57" s="172">
        <f t="shared" si="39"/>
        <v>0.18688230008984719</v>
      </c>
      <c r="K57" s="20">
        <f>+'Schedule 1'!D28</f>
        <v>3</v>
      </c>
      <c r="L57" s="174">
        <f t="shared" si="40"/>
        <v>75</v>
      </c>
      <c r="N57" s="174">
        <f t="shared" si="41"/>
        <v>250.56</v>
      </c>
      <c r="O57" s="174">
        <f t="shared" si="42"/>
        <v>225</v>
      </c>
      <c r="P57" s="174">
        <f t="shared" si="43"/>
        <v>0</v>
      </c>
      <c r="Q57" s="174">
        <f t="shared" si="44"/>
        <v>475.56</v>
      </c>
    </row>
    <row r="58" spans="1:17" ht="15.75">
      <c r="A58" s="236" t="s">
        <v>26</v>
      </c>
      <c r="B58" s="237">
        <v>216</v>
      </c>
      <c r="C58" s="236">
        <v>166</v>
      </c>
      <c r="D58" s="238">
        <f t="shared" si="36"/>
        <v>19.25</v>
      </c>
      <c r="E58" s="239">
        <f>'Schedule 2'!$H$14</f>
        <v>6.25</v>
      </c>
      <c r="F58" s="239">
        <v>0</v>
      </c>
      <c r="G58" s="256">
        <f t="shared" si="37"/>
        <v>25.5</v>
      </c>
      <c r="H58" s="264">
        <f t="shared" si="38"/>
        <v>0</v>
      </c>
      <c r="I58" s="240">
        <f>+'2007 Stlgt Rates'!I46</f>
        <v>25.79</v>
      </c>
      <c r="J58" s="241">
        <f t="shared" si="39"/>
        <v>-1.1244668476153463E-2</v>
      </c>
      <c r="K58" s="242">
        <f>+'Schedule 1'!D29</f>
        <v>0</v>
      </c>
      <c r="L58" s="243">
        <f t="shared" si="40"/>
        <v>0</v>
      </c>
      <c r="N58" s="243">
        <f t="shared" si="41"/>
        <v>0</v>
      </c>
      <c r="O58" s="243">
        <f t="shared" si="42"/>
        <v>0</v>
      </c>
      <c r="P58" s="243">
        <f t="shared" si="43"/>
        <v>0</v>
      </c>
      <c r="Q58" s="243">
        <f t="shared" si="44"/>
        <v>0</v>
      </c>
    </row>
    <row r="59" spans="1:17">
      <c r="A59" s="1" t="s">
        <v>649</v>
      </c>
      <c r="B59" s="18">
        <v>217</v>
      </c>
      <c r="C59" s="1">
        <v>49</v>
      </c>
      <c r="D59" s="186">
        <f t="shared" si="36"/>
        <v>5.68</v>
      </c>
      <c r="E59" s="14">
        <f>'Schedule 2'!$H$14</f>
        <v>6.25</v>
      </c>
      <c r="F59" s="14">
        <v>0</v>
      </c>
      <c r="G59" s="254">
        <f t="shared" si="37"/>
        <v>11.93</v>
      </c>
      <c r="H59" s="262">
        <f t="shared" si="38"/>
        <v>143.16</v>
      </c>
      <c r="I59" s="171">
        <f>+'2007 Stlgt Rates'!I39</f>
        <v>9.44</v>
      </c>
      <c r="J59" s="172">
        <f t="shared" si="39"/>
        <v>0.26377118644067798</v>
      </c>
      <c r="K59" s="20">
        <f>+'Schedule 1'!D30</f>
        <v>1</v>
      </c>
      <c r="L59" s="174">
        <f t="shared" si="40"/>
        <v>30</v>
      </c>
      <c r="N59" s="174">
        <f t="shared" si="41"/>
        <v>68.16</v>
      </c>
      <c r="O59" s="174">
        <f t="shared" si="42"/>
        <v>75</v>
      </c>
      <c r="P59" s="174">
        <f t="shared" si="43"/>
        <v>0</v>
      </c>
      <c r="Q59" s="174">
        <f t="shared" si="44"/>
        <v>143.16</v>
      </c>
    </row>
    <row r="60" spans="1:17">
      <c r="A60" s="1" t="s">
        <v>21</v>
      </c>
      <c r="B60" s="18">
        <v>218</v>
      </c>
      <c r="C60" s="1">
        <v>85</v>
      </c>
      <c r="D60" s="186">
        <f t="shared" si="36"/>
        <v>9.86</v>
      </c>
      <c r="E60" s="14">
        <f>'Schedule 2'!$H$14</f>
        <v>6.25</v>
      </c>
      <c r="F60" s="14">
        <v>0</v>
      </c>
      <c r="G60" s="254">
        <f t="shared" si="37"/>
        <v>16.11</v>
      </c>
      <c r="H60" s="262">
        <f t="shared" si="38"/>
        <v>0</v>
      </c>
      <c r="I60" s="171">
        <f>+'2007 Stlgt Rates'!I41</f>
        <v>14.89</v>
      </c>
      <c r="J60" s="172">
        <f t="shared" si="39"/>
        <v>8.1934184016118072E-2</v>
      </c>
      <c r="K60" s="20">
        <f>+'Schedule 1'!D31</f>
        <v>0</v>
      </c>
      <c r="L60" s="174">
        <f t="shared" si="40"/>
        <v>0</v>
      </c>
      <c r="N60" s="174">
        <f t="shared" si="41"/>
        <v>0</v>
      </c>
      <c r="O60" s="174">
        <f t="shared" si="42"/>
        <v>0</v>
      </c>
      <c r="P60" s="174">
        <f t="shared" si="43"/>
        <v>0</v>
      </c>
      <c r="Q60" s="174">
        <f t="shared" si="44"/>
        <v>0</v>
      </c>
    </row>
    <row r="61" spans="1:17">
      <c r="B61" s="18"/>
      <c r="D61" s="186"/>
      <c r="E61" s="14"/>
      <c r="F61" s="14"/>
      <c r="G61" s="254"/>
      <c r="H61" s="262"/>
      <c r="I61" s="171"/>
      <c r="J61" s="172"/>
      <c r="K61" s="20"/>
      <c r="N61" s="174">
        <f t="shared" si="41"/>
        <v>0</v>
      </c>
      <c r="O61" s="174">
        <f t="shared" si="42"/>
        <v>0</v>
      </c>
      <c r="P61" s="174">
        <f t="shared" si="43"/>
        <v>0</v>
      </c>
      <c r="Q61" s="174">
        <f t="shared" si="44"/>
        <v>0</v>
      </c>
    </row>
    <row r="62" spans="1:17" ht="15.75">
      <c r="A62" s="176" t="s">
        <v>110</v>
      </c>
      <c r="B62" s="183">
        <v>330</v>
      </c>
      <c r="C62" s="176">
        <v>47</v>
      </c>
      <c r="D62" s="177">
        <f>ROUND(+C62*H$150,2)</f>
        <v>5.45</v>
      </c>
      <c r="E62" s="178">
        <v>0</v>
      </c>
      <c r="F62" s="178">
        <v>0</v>
      </c>
      <c r="G62" s="255">
        <f>SUM(D62:F62)</f>
        <v>5.45</v>
      </c>
      <c r="H62" s="263">
        <f>G62*K62*12</f>
        <v>130.80000000000001</v>
      </c>
      <c r="I62" s="179">
        <f>+'2007 Stlgt Rates'!I134</f>
        <v>5.4513920000000002</v>
      </c>
      <c r="J62" s="180">
        <f>+G62/I62-1</f>
        <v>-2.5534762497358976E-4</v>
      </c>
      <c r="K62" s="184">
        <f>+'Schedule 1'!E32</f>
        <v>2</v>
      </c>
      <c r="L62" s="200">
        <f>ROUND((G62-I62)*K62*12,0)</f>
        <v>0</v>
      </c>
      <c r="N62" s="243">
        <f t="shared" si="41"/>
        <v>130.80000000000001</v>
      </c>
      <c r="O62" s="243">
        <f t="shared" si="42"/>
        <v>0</v>
      </c>
      <c r="P62" s="243">
        <f t="shared" si="43"/>
        <v>0</v>
      </c>
      <c r="Q62" s="243">
        <f t="shared" si="44"/>
        <v>130.80000000000001</v>
      </c>
    </row>
    <row r="63" spans="1:17">
      <c r="B63" s="18"/>
      <c r="D63" s="186"/>
      <c r="E63" s="14"/>
      <c r="F63" s="14"/>
      <c r="G63" s="254"/>
      <c r="H63" s="262">
        <f>SUM(H55:H62)</f>
        <v>4399.92</v>
      </c>
      <c r="I63" s="171"/>
      <c r="J63" s="172"/>
      <c r="K63" s="20">
        <f>SUM(K55:K62)</f>
        <v>32</v>
      </c>
      <c r="L63" s="174">
        <f>SUM(L55:L62)</f>
        <v>910</v>
      </c>
    </row>
    <row r="64" spans="1:17">
      <c r="B64" s="18"/>
      <c r="E64" s="14"/>
      <c r="F64" s="14"/>
      <c r="G64" s="254"/>
      <c r="H64" s="262"/>
      <c r="K64" s="20"/>
    </row>
    <row r="65" spans="1:17" ht="15.75">
      <c r="A65" s="4" t="s">
        <v>77</v>
      </c>
      <c r="B65" s="12"/>
      <c r="E65" s="14"/>
      <c r="F65" s="14"/>
      <c r="G65" s="254"/>
      <c r="H65" s="262"/>
    </row>
    <row r="66" spans="1:17" ht="15.75">
      <c r="A66" s="4" t="s">
        <v>78</v>
      </c>
      <c r="B66" s="12"/>
      <c r="E66" s="14"/>
      <c r="F66" s="14"/>
      <c r="G66" s="254"/>
      <c r="H66" s="262"/>
    </row>
    <row r="67" spans="1:17">
      <c r="B67" s="18"/>
      <c r="E67" s="14"/>
      <c r="F67" s="14"/>
      <c r="G67" s="254"/>
      <c r="H67" s="262"/>
    </row>
    <row r="68" spans="1:17">
      <c r="A68" s="1" t="s">
        <v>637</v>
      </c>
      <c r="B68" s="18">
        <v>118</v>
      </c>
      <c r="C68" s="1">
        <v>66</v>
      </c>
      <c r="D68" s="186">
        <f>C68*H$159</f>
        <v>5.9298558000000003</v>
      </c>
      <c r="E68" s="14">
        <v>0</v>
      </c>
      <c r="F68" s="14">
        <v>0</v>
      </c>
      <c r="G68" s="254">
        <f>SUM(D68:F68)</f>
        <v>5.9298558000000003</v>
      </c>
      <c r="H68" s="262">
        <f>G68*K68*12</f>
        <v>1209.6905832</v>
      </c>
      <c r="I68" s="171">
        <f>+'2007 Stlgt Rates'!I58</f>
        <v>7.48</v>
      </c>
      <c r="J68" s="172">
        <f>+G68/I68-1</f>
        <v>-0.20723852941176468</v>
      </c>
      <c r="K68" s="20">
        <f>+'Schedule 1'!E37</f>
        <v>17</v>
      </c>
      <c r="L68" s="174">
        <f>ROUND((G68-I68)*K68*12,0)</f>
        <v>-316</v>
      </c>
      <c r="N68" s="174">
        <f>$D68*$K68*12</f>
        <v>1209.6905832</v>
      </c>
      <c r="O68" s="174">
        <f>$E68*$K68*12</f>
        <v>0</v>
      </c>
      <c r="P68" s="174">
        <f>$F68*$K68*12</f>
        <v>0</v>
      </c>
      <c r="Q68" s="174">
        <f>SUM(N68:P68)</f>
        <v>1209.6905832</v>
      </c>
    </row>
    <row r="69" spans="1:17">
      <c r="A69" s="1" t="s">
        <v>638</v>
      </c>
      <c r="B69" s="18">
        <v>119</v>
      </c>
      <c r="C69" s="1">
        <v>364</v>
      </c>
      <c r="D69" s="186">
        <f>C69*H$159</f>
        <v>32.704053200000004</v>
      </c>
      <c r="E69" s="14">
        <v>0</v>
      </c>
      <c r="F69" s="14">
        <v>0</v>
      </c>
      <c r="G69" s="254">
        <f>SUM(D69:F69)</f>
        <v>32.704053200000004</v>
      </c>
      <c r="H69" s="262">
        <f>G69*K69*12</f>
        <v>8241.4214064000007</v>
      </c>
      <c r="I69" s="171">
        <f>+'2007 Stlgt Rates'!I59</f>
        <v>41.18</v>
      </c>
      <c r="J69" s="172">
        <f>+G69/I69-1</f>
        <v>-0.20582677999028642</v>
      </c>
      <c r="K69" s="20">
        <f>+'Schedule 1'!E38</f>
        <v>21</v>
      </c>
      <c r="L69" s="174">
        <f>ROUND((G69-I69)*K69*12,0)</f>
        <v>-2136</v>
      </c>
      <c r="N69" s="174">
        <f>$D69*$K69*12</f>
        <v>8241.4214064000007</v>
      </c>
      <c r="O69" s="174">
        <f>$E69*$K69*12</f>
        <v>0</v>
      </c>
      <c r="P69" s="174">
        <f>$F69*$K69*12</f>
        <v>0</v>
      </c>
      <c r="Q69" s="174">
        <f>SUM(N69:P69)</f>
        <v>8241.4214064000007</v>
      </c>
    </row>
    <row r="70" spans="1:17">
      <c r="A70" s="1" t="s">
        <v>639</v>
      </c>
      <c r="B70" s="18">
        <v>117</v>
      </c>
      <c r="C70" s="1">
        <v>486</v>
      </c>
      <c r="D70" s="186">
        <f>C70*H$159</f>
        <v>43.665301800000002</v>
      </c>
      <c r="E70" s="14">
        <v>0</v>
      </c>
      <c r="F70" s="14">
        <v>0</v>
      </c>
      <c r="G70" s="254">
        <f>SUM(D70:F70)</f>
        <v>43.665301800000002</v>
      </c>
      <c r="H70" s="262">
        <f>G70*K70*12</f>
        <v>1047.9672432</v>
      </c>
      <c r="I70" s="171">
        <f>+'2007 Stlgt Rates'!I60</f>
        <v>54.99</v>
      </c>
      <c r="J70" s="172">
        <f>+G70/I70-1</f>
        <v>-0.2059410474631751</v>
      </c>
      <c r="K70" s="20">
        <f>+'Schedule 1'!E36</f>
        <v>2</v>
      </c>
      <c r="L70" s="174">
        <f>ROUND((G70-I70)*K70*12,0)</f>
        <v>-272</v>
      </c>
      <c r="N70" s="174">
        <f>$D70*$K70*12</f>
        <v>1047.9672432</v>
      </c>
      <c r="O70" s="174">
        <f>$E70*$K70*12</f>
        <v>0</v>
      </c>
      <c r="P70" s="174">
        <f>$F70*$K70*12</f>
        <v>0</v>
      </c>
      <c r="Q70" s="174">
        <f>SUM(N70:P70)</f>
        <v>1047.9672432</v>
      </c>
    </row>
    <row r="71" spans="1:17">
      <c r="A71" s="1" t="s">
        <v>640</v>
      </c>
      <c r="B71" s="18">
        <v>120</v>
      </c>
      <c r="C71" s="1">
        <v>254</v>
      </c>
      <c r="D71" s="186">
        <f>C71*H$159</f>
        <v>22.820960200000002</v>
      </c>
      <c r="E71" s="14">
        <v>0</v>
      </c>
      <c r="F71" s="14">
        <v>0</v>
      </c>
      <c r="G71" s="254">
        <f>SUM(D71:F71)</f>
        <v>22.820960200000002</v>
      </c>
      <c r="H71" s="262">
        <f>G71*K71*12</f>
        <v>7941.6941495999999</v>
      </c>
      <c r="I71" s="171">
        <f>+'2007 Stlgt Rates'!I61</f>
        <v>28.75</v>
      </c>
      <c r="J71" s="172">
        <f>+G71/I71-1</f>
        <v>-0.20622747130434771</v>
      </c>
      <c r="K71" s="20">
        <f>+'Schedule 1'!E39</f>
        <v>29</v>
      </c>
      <c r="L71" s="174">
        <f>ROUND((G71-I71)*K71*12,0)</f>
        <v>-2063</v>
      </c>
      <c r="N71" s="174">
        <f>$D71*$K71*12</f>
        <v>7941.6941495999999</v>
      </c>
      <c r="O71" s="174">
        <f>$E71*$K71*12</f>
        <v>0</v>
      </c>
      <c r="P71" s="174">
        <f>$F71*$K71*12</f>
        <v>0</v>
      </c>
      <c r="Q71" s="174">
        <f>SUM(N71:P71)</f>
        <v>7941.6941495999999</v>
      </c>
    </row>
    <row r="72" spans="1:17">
      <c r="A72" s="1" t="s">
        <v>111</v>
      </c>
      <c r="B72" s="18">
        <v>150</v>
      </c>
      <c r="C72" s="1">
        <v>613</v>
      </c>
      <c r="D72" s="186">
        <f>C72*H$159</f>
        <v>55.075781900000003</v>
      </c>
      <c r="E72" s="14">
        <v>0</v>
      </c>
      <c r="F72" s="14">
        <v>0</v>
      </c>
      <c r="G72" s="254">
        <f>SUM(D72:F72)</f>
        <v>55.075781900000003</v>
      </c>
      <c r="H72" s="265">
        <f>G72*K72*12</f>
        <v>15200.9158044</v>
      </c>
      <c r="I72" s="171">
        <f>+'2007 Stlgt Rates'!I62</f>
        <v>69.36</v>
      </c>
      <c r="J72" s="172">
        <f>+G72/I72-1</f>
        <v>-0.20594316753171849</v>
      </c>
      <c r="K72" s="10">
        <f>+'Schedule 1'!E40</f>
        <v>23</v>
      </c>
      <c r="L72" s="199">
        <f>ROUND((G72-I72)*K72*12,0)</f>
        <v>-3942</v>
      </c>
      <c r="N72" s="174">
        <f>$D72*$K72*12</f>
        <v>15200.9158044</v>
      </c>
      <c r="O72" s="174">
        <f>$E72*$K72*12</f>
        <v>0</v>
      </c>
      <c r="P72" s="174">
        <f>$F72*$K72*12</f>
        <v>0</v>
      </c>
      <c r="Q72" s="174">
        <f>SUM(N72:P72)</f>
        <v>15200.9158044</v>
      </c>
    </row>
    <row r="73" spans="1:17">
      <c r="B73" s="18"/>
      <c r="D73" s="186"/>
      <c r="E73" s="14"/>
      <c r="F73" s="14"/>
      <c r="G73" s="254"/>
      <c r="H73" s="262">
        <f>SUM(H68:H72)</f>
        <v>33641.689186800002</v>
      </c>
      <c r="K73" s="20">
        <f>SUM(K68:K72)</f>
        <v>92</v>
      </c>
      <c r="L73" s="174">
        <f>SUM(L68:L72)</f>
        <v>-8729</v>
      </c>
    </row>
    <row r="74" spans="1:17" ht="15.75">
      <c r="A74" s="4" t="s">
        <v>643</v>
      </c>
      <c r="B74" s="12"/>
      <c r="D74" s="186"/>
      <c r="E74" s="14"/>
      <c r="F74" s="14"/>
      <c r="G74" s="254"/>
      <c r="H74" s="262"/>
    </row>
    <row r="75" spans="1:17" ht="15.75">
      <c r="A75" s="4" t="s">
        <v>78</v>
      </c>
      <c r="B75" s="12"/>
      <c r="D75" s="186"/>
      <c r="E75" s="14"/>
      <c r="F75" s="14"/>
      <c r="G75" s="254"/>
      <c r="H75" s="262"/>
    </row>
    <row r="76" spans="1:17">
      <c r="B76" s="18"/>
      <c r="D76" s="186"/>
      <c r="E76" s="14"/>
      <c r="F76" s="14"/>
      <c r="G76" s="254"/>
      <c r="H76" s="262"/>
    </row>
    <row r="77" spans="1:17">
      <c r="A77" s="1" t="s">
        <v>637</v>
      </c>
      <c r="B77" s="18">
        <v>310</v>
      </c>
      <c r="C77" s="1">
        <v>30</v>
      </c>
      <c r="D77" s="186">
        <f t="shared" ref="D77:D83" si="45">ROUND(+C77*H$150,2)</f>
        <v>3.48</v>
      </c>
      <c r="E77" s="14">
        <v>0</v>
      </c>
      <c r="F77" s="14">
        <v>0</v>
      </c>
      <c r="G77" s="254">
        <f t="shared" ref="G77:G83" si="46">SUM(D77:F77)</f>
        <v>3.48</v>
      </c>
      <c r="H77" s="262">
        <f t="shared" ref="H77:H82" si="47">G77*K77*12</f>
        <v>41.76</v>
      </c>
      <c r="I77" s="171">
        <f>+'2007 Stlgt Rates'!I68</f>
        <v>4.57</v>
      </c>
      <c r="J77" s="172">
        <f t="shared" ref="J77:J83" si="48">+G77/I77-1</f>
        <v>-0.23851203501094098</v>
      </c>
      <c r="K77" s="20">
        <f>+'Schedule 1'!E43</f>
        <v>1</v>
      </c>
      <c r="L77" s="174">
        <f t="shared" ref="L77:L83" si="49">ROUND((G77-I77)*K77*12,0)</f>
        <v>-13</v>
      </c>
      <c r="N77" s="174">
        <f t="shared" ref="N77:N83" si="50">$D77*$K77*12</f>
        <v>41.76</v>
      </c>
      <c r="O77" s="174">
        <f t="shared" ref="O77:O83" si="51">$E77*$K77*12</f>
        <v>0</v>
      </c>
      <c r="P77" s="174">
        <f t="shared" ref="P77:P83" si="52">$F77*$K77*12</f>
        <v>0</v>
      </c>
      <c r="Q77" s="174">
        <f t="shared" ref="Q77:Q83" si="53">SUM(N77:P77)</f>
        <v>41.76</v>
      </c>
    </row>
    <row r="78" spans="1:17">
      <c r="A78" s="1" t="s">
        <v>638</v>
      </c>
      <c r="B78" s="18">
        <v>311</v>
      </c>
      <c r="C78" s="1">
        <v>166</v>
      </c>
      <c r="D78" s="186">
        <f t="shared" si="45"/>
        <v>19.25</v>
      </c>
      <c r="E78" s="14">
        <v>0</v>
      </c>
      <c r="F78" s="14">
        <v>0</v>
      </c>
      <c r="G78" s="254">
        <f t="shared" si="46"/>
        <v>19.25</v>
      </c>
      <c r="H78" s="262">
        <f t="shared" si="47"/>
        <v>1155</v>
      </c>
      <c r="I78" s="171">
        <f>+'2007 Stlgt Rates'!I69</f>
        <v>25.22</v>
      </c>
      <c r="J78" s="172">
        <f t="shared" si="48"/>
        <v>-0.23671689135606655</v>
      </c>
      <c r="K78" s="20">
        <f>+'Schedule 1'!E44</f>
        <v>5</v>
      </c>
      <c r="L78" s="174">
        <f t="shared" si="49"/>
        <v>-358</v>
      </c>
      <c r="N78" s="174">
        <f t="shared" si="50"/>
        <v>1155</v>
      </c>
      <c r="O78" s="174">
        <f t="shared" si="51"/>
        <v>0</v>
      </c>
      <c r="P78" s="174">
        <f t="shared" si="52"/>
        <v>0</v>
      </c>
      <c r="Q78" s="174">
        <f t="shared" si="53"/>
        <v>1155</v>
      </c>
    </row>
    <row r="79" spans="1:17">
      <c r="A79" s="1" t="s">
        <v>639</v>
      </c>
      <c r="B79" s="18">
        <v>313</v>
      </c>
      <c r="C79" s="1">
        <v>222</v>
      </c>
      <c r="D79" s="186">
        <f t="shared" si="45"/>
        <v>25.74</v>
      </c>
      <c r="E79" s="14">
        <v>0</v>
      </c>
      <c r="F79" s="14">
        <v>0</v>
      </c>
      <c r="G79" s="254">
        <f t="shared" si="46"/>
        <v>25.74</v>
      </c>
      <c r="H79" s="262">
        <f t="shared" si="47"/>
        <v>0</v>
      </c>
      <c r="I79" s="171">
        <f>+'2007 Stlgt Rates'!I70</f>
        <v>33.68</v>
      </c>
      <c r="J79" s="172">
        <f t="shared" si="48"/>
        <v>-0.23574821852731598</v>
      </c>
      <c r="K79" s="20">
        <f>+'Schedule 1'!E46</f>
        <v>0</v>
      </c>
      <c r="L79" s="174">
        <f t="shared" si="49"/>
        <v>0</v>
      </c>
      <c r="N79" s="174">
        <f t="shared" si="50"/>
        <v>0</v>
      </c>
      <c r="O79" s="174">
        <f t="shared" si="51"/>
        <v>0</v>
      </c>
      <c r="P79" s="174">
        <f t="shared" si="52"/>
        <v>0</v>
      </c>
      <c r="Q79" s="174">
        <f t="shared" si="53"/>
        <v>0</v>
      </c>
    </row>
    <row r="80" spans="1:17">
      <c r="A80" s="1" t="s">
        <v>79</v>
      </c>
      <c r="B80" s="18">
        <v>312</v>
      </c>
      <c r="C80" s="1">
        <v>116</v>
      </c>
      <c r="D80" s="186">
        <f t="shared" si="45"/>
        <v>13.45</v>
      </c>
      <c r="E80" s="14">
        <v>0</v>
      </c>
      <c r="F80" s="14">
        <v>0</v>
      </c>
      <c r="G80" s="254">
        <f t="shared" si="46"/>
        <v>13.45</v>
      </c>
      <c r="H80" s="262">
        <f t="shared" si="47"/>
        <v>322.79999999999995</v>
      </c>
      <c r="I80" s="171">
        <f>+'2007 Stlgt Rates'!I71</f>
        <v>17.61</v>
      </c>
      <c r="J80" s="172">
        <f t="shared" si="48"/>
        <v>-0.23622941510505391</v>
      </c>
      <c r="K80" s="20">
        <f>+'Schedule 1'!E45</f>
        <v>2</v>
      </c>
      <c r="L80" s="174">
        <f t="shared" si="49"/>
        <v>-100</v>
      </c>
      <c r="N80" s="174">
        <f t="shared" si="50"/>
        <v>322.79999999999995</v>
      </c>
      <c r="O80" s="174">
        <f t="shared" si="51"/>
        <v>0</v>
      </c>
      <c r="P80" s="174">
        <f t="shared" si="52"/>
        <v>0</v>
      </c>
      <c r="Q80" s="174">
        <f t="shared" si="53"/>
        <v>322.79999999999995</v>
      </c>
    </row>
    <row r="81" spans="1:17" ht="15.75">
      <c r="A81" s="236" t="s">
        <v>645</v>
      </c>
      <c r="B81" s="237">
        <v>314</v>
      </c>
      <c r="C81" s="236">
        <v>47</v>
      </c>
      <c r="D81" s="238">
        <f t="shared" si="45"/>
        <v>5.45</v>
      </c>
      <c r="E81" s="239">
        <v>0</v>
      </c>
      <c r="F81" s="239">
        <v>0</v>
      </c>
      <c r="G81" s="256">
        <f t="shared" si="46"/>
        <v>5.45</v>
      </c>
      <c r="H81" s="264">
        <f t="shared" si="47"/>
        <v>1635</v>
      </c>
      <c r="I81" s="240">
        <f>+'2007 Stlgt Rates'!F140</f>
        <v>5.4539996000000004</v>
      </c>
      <c r="J81" s="241">
        <f t="shared" si="48"/>
        <v>-7.3333338711656371E-4</v>
      </c>
      <c r="K81" s="242">
        <f>+'Schedule 1'!E47</f>
        <v>25</v>
      </c>
      <c r="L81" s="243">
        <f t="shared" si="49"/>
        <v>-1</v>
      </c>
      <c r="N81" s="243">
        <f t="shared" si="50"/>
        <v>1635</v>
      </c>
      <c r="O81" s="243">
        <f t="shared" si="51"/>
        <v>0</v>
      </c>
      <c r="P81" s="243">
        <f t="shared" si="52"/>
        <v>0</v>
      </c>
      <c r="Q81" s="243">
        <f t="shared" si="53"/>
        <v>1635</v>
      </c>
    </row>
    <row r="82" spans="1:17" ht="15.75">
      <c r="A82" s="236" t="s">
        <v>646</v>
      </c>
      <c r="B82" s="237">
        <v>315</v>
      </c>
      <c r="C82" s="236">
        <v>60</v>
      </c>
      <c r="D82" s="238">
        <f t="shared" si="45"/>
        <v>6.96</v>
      </c>
      <c r="E82" s="239">
        <v>0</v>
      </c>
      <c r="F82" s="239">
        <v>0</v>
      </c>
      <c r="G82" s="256">
        <f t="shared" si="46"/>
        <v>6.96</v>
      </c>
      <c r="H82" s="264">
        <f t="shared" si="47"/>
        <v>0</v>
      </c>
      <c r="I82" s="240">
        <f>+'2007 Stlgt Rates'!F141</f>
        <v>6.9605647999999993</v>
      </c>
      <c r="J82" s="241">
        <f t="shared" si="48"/>
        <v>-8.1142840592351995E-5</v>
      </c>
      <c r="K82" s="242">
        <f>+'Schedule 1'!E48</f>
        <v>0</v>
      </c>
      <c r="L82" s="243">
        <f t="shared" si="49"/>
        <v>0</v>
      </c>
      <c r="N82" s="243">
        <f t="shared" si="50"/>
        <v>0</v>
      </c>
      <c r="O82" s="243">
        <f t="shared" si="51"/>
        <v>0</v>
      </c>
      <c r="P82" s="243">
        <f t="shared" si="52"/>
        <v>0</v>
      </c>
      <c r="Q82" s="243">
        <f t="shared" si="53"/>
        <v>0</v>
      </c>
    </row>
    <row r="83" spans="1:17">
      <c r="A83" s="1" t="s">
        <v>111</v>
      </c>
      <c r="B83" s="18">
        <v>350</v>
      </c>
      <c r="C83" s="1">
        <v>280</v>
      </c>
      <c r="D83" s="186">
        <f t="shared" si="45"/>
        <v>32.47</v>
      </c>
      <c r="E83" s="14">
        <v>0</v>
      </c>
      <c r="F83" s="14">
        <v>0</v>
      </c>
      <c r="G83" s="254">
        <f t="shared" si="46"/>
        <v>32.47</v>
      </c>
      <c r="H83" s="265">
        <f>G83*K83*12</f>
        <v>30391.919999999998</v>
      </c>
      <c r="I83" s="171">
        <f>+'2007 Stlgt Rates'!I72</f>
        <v>42.47</v>
      </c>
      <c r="J83" s="172">
        <f t="shared" si="48"/>
        <v>-0.23546032493524838</v>
      </c>
      <c r="K83" s="10">
        <f>+'Schedule 1'!E33</f>
        <v>78</v>
      </c>
      <c r="L83" s="199">
        <f t="shared" si="49"/>
        <v>-9360</v>
      </c>
      <c r="N83" s="174">
        <f t="shared" si="50"/>
        <v>30391.919999999998</v>
      </c>
      <c r="O83" s="174">
        <f t="shared" si="51"/>
        <v>0</v>
      </c>
      <c r="P83" s="174">
        <f t="shared" si="52"/>
        <v>0</v>
      </c>
      <c r="Q83" s="174">
        <f t="shared" si="53"/>
        <v>30391.919999999998</v>
      </c>
    </row>
    <row r="84" spans="1:17">
      <c r="B84" s="18"/>
      <c r="D84" s="186"/>
      <c r="E84" s="14"/>
      <c r="F84" s="14"/>
      <c r="G84" s="254"/>
      <c r="H84" s="262">
        <f>SUM(H77:H83)</f>
        <v>33546.479999999996</v>
      </c>
      <c r="K84" s="20">
        <f>SUM(K77:K83)</f>
        <v>111</v>
      </c>
      <c r="L84" s="174">
        <f>SUM(L77:L83)</f>
        <v>-9832</v>
      </c>
    </row>
    <row r="85" spans="1:17" ht="15.75">
      <c r="A85" s="4" t="s">
        <v>80</v>
      </c>
      <c r="B85" s="12"/>
      <c r="E85" s="14"/>
      <c r="F85" s="14"/>
      <c r="G85" s="254"/>
      <c r="H85" s="262"/>
    </row>
    <row r="86" spans="1:17" ht="15.75">
      <c r="A86" s="4"/>
      <c r="B86" s="12"/>
      <c r="E86" s="14"/>
      <c r="F86" s="14"/>
      <c r="G86" s="254"/>
      <c r="H86" s="262"/>
    </row>
    <row r="87" spans="1:17">
      <c r="A87" s="1" t="s">
        <v>89</v>
      </c>
      <c r="B87" s="18">
        <v>132</v>
      </c>
      <c r="C87" s="1">
        <v>45</v>
      </c>
      <c r="D87" s="186">
        <f>ROUND(+C87*H$150,2)</f>
        <v>5.22</v>
      </c>
      <c r="E87" s="14">
        <f>'Schedule 2'!$H$20</f>
        <v>9.3800000000000008</v>
      </c>
      <c r="F87" s="14">
        <f>'Schedule 4'!$H37</f>
        <v>10.34954934015407</v>
      </c>
      <c r="G87" s="254">
        <f>SUM(D87:F87)</f>
        <v>24.949549340154071</v>
      </c>
      <c r="H87" s="262">
        <f>G87*K87*12</f>
        <v>598.78918416369766</v>
      </c>
      <c r="I87" s="171">
        <f>+'2007 Stlgt Rates'!I78</f>
        <v>15.28</v>
      </c>
      <c r="J87" s="172">
        <f>+G87/I87-1</f>
        <v>0.63282390969594715</v>
      </c>
      <c r="K87" s="20">
        <f>+'Schedule 1'!C62</f>
        <v>2</v>
      </c>
      <c r="L87" s="174">
        <f>ROUND((G87-I87)*K87*12,0)</f>
        <v>232</v>
      </c>
      <c r="N87" s="174">
        <f>$D87*$K87*12</f>
        <v>125.28</v>
      </c>
      <c r="O87" s="174">
        <f>$E87*$K87*12</f>
        <v>225.12</v>
      </c>
      <c r="P87" s="174">
        <f>$F87*$K87*12</f>
        <v>248.38918416369768</v>
      </c>
      <c r="Q87" s="174">
        <f>SUM(N87:P87)</f>
        <v>598.78918416369766</v>
      </c>
    </row>
    <row r="88" spans="1:17">
      <c r="A88" s="1" t="s">
        <v>29</v>
      </c>
      <c r="B88" s="18">
        <v>130</v>
      </c>
      <c r="C88" s="1">
        <v>60</v>
      </c>
      <c r="D88" s="186">
        <f>ROUND(+C88*H$150,2)</f>
        <v>6.96</v>
      </c>
      <c r="E88" s="14">
        <f>'Schedule 2'!$H$20</f>
        <v>9.3800000000000008</v>
      </c>
      <c r="F88" s="14">
        <f>'Schedule 4'!$H38</f>
        <v>10.34954934015407</v>
      </c>
      <c r="G88" s="254">
        <f>SUM(D88:F88)</f>
        <v>26.68954934015407</v>
      </c>
      <c r="H88" s="262">
        <f>G88*K88*12</f>
        <v>19536.750116992778</v>
      </c>
      <c r="I88" s="171">
        <f>+'2007 Stlgt Rates'!I79</f>
        <v>17.579999999999998</v>
      </c>
      <c r="J88" s="172">
        <f>+G88/I88-1</f>
        <v>0.51817686804061847</v>
      </c>
      <c r="K88" s="20">
        <f>+'Schedule 1'!C60</f>
        <v>61</v>
      </c>
      <c r="L88" s="174">
        <f>ROUND((G88-I88)*K88*12,0)</f>
        <v>6668</v>
      </c>
      <c r="N88" s="174">
        <f>$D88*$K88*12</f>
        <v>5094.72</v>
      </c>
      <c r="O88" s="174">
        <f>$E88*$K88*12</f>
        <v>6866.1600000000008</v>
      </c>
      <c r="P88" s="174">
        <f>$F88*$K88*12</f>
        <v>7575.870116992779</v>
      </c>
      <c r="Q88" s="174">
        <f>SUM(N88:P88)</f>
        <v>19536.750116992778</v>
      </c>
    </row>
    <row r="89" spans="1:17">
      <c r="A89" s="1" t="s">
        <v>30</v>
      </c>
      <c r="B89" s="18">
        <v>131</v>
      </c>
      <c r="C89" s="1">
        <v>80</v>
      </c>
      <c r="D89" s="186">
        <f>ROUND(+C89*H$150,2)</f>
        <v>9.2799999999999994</v>
      </c>
      <c r="E89" s="14">
        <f>'Schedule 2'!$H$20</f>
        <v>9.3800000000000008</v>
      </c>
      <c r="F89" s="14">
        <f>'Schedule 4'!$H39</f>
        <v>11.845502673487402</v>
      </c>
      <c r="G89" s="254">
        <f>SUM(D89:F89)</f>
        <v>30.505502673487403</v>
      </c>
      <c r="H89" s="262">
        <f>G89*K89*12</f>
        <v>318477.4479112085</v>
      </c>
      <c r="I89" s="171">
        <f>+'2007 Stlgt Rates'!I80</f>
        <v>20.61</v>
      </c>
      <c r="J89" s="172">
        <f>+G89/I89-1</f>
        <v>0.48013113408478425</v>
      </c>
      <c r="K89" s="20">
        <f>+'Schedule 1'!C61</f>
        <v>870</v>
      </c>
      <c r="L89" s="174">
        <f>ROUND((G89-I89)*K89*12,0)</f>
        <v>103309</v>
      </c>
      <c r="N89" s="174">
        <f>$D89*$K89*12</f>
        <v>96883.199999999997</v>
      </c>
      <c r="O89" s="174">
        <f>$E89*$K89*12</f>
        <v>97927.200000000012</v>
      </c>
      <c r="P89" s="174">
        <f>$F89*$K89*12</f>
        <v>123667.04791120849</v>
      </c>
      <c r="Q89" s="174">
        <f>SUM(N89:P89)</f>
        <v>318477.4479112085</v>
      </c>
    </row>
    <row r="90" spans="1:17">
      <c r="B90" s="18"/>
      <c r="D90" s="186"/>
      <c r="E90" s="14"/>
      <c r="F90" s="14"/>
      <c r="G90" s="254"/>
      <c r="H90" s="262"/>
      <c r="I90" s="171"/>
      <c r="J90" s="172"/>
      <c r="K90" s="20"/>
      <c r="L90" s="174"/>
    </row>
    <row r="91" spans="1:17">
      <c r="A91" s="1" t="s">
        <v>647</v>
      </c>
      <c r="B91" s="18">
        <v>231</v>
      </c>
      <c r="C91" s="1">
        <v>80</v>
      </c>
      <c r="D91" s="186">
        <f>ROUND(+C91*H$150,2)</f>
        <v>9.2799999999999994</v>
      </c>
      <c r="E91" s="14">
        <f>'Schedule 2'!$H$20</f>
        <v>9.3800000000000008</v>
      </c>
      <c r="F91" s="14">
        <v>0</v>
      </c>
      <c r="G91" s="254">
        <f>SUM(D91:F91)</f>
        <v>18.66</v>
      </c>
      <c r="H91" s="262">
        <f>G91*K91*12</f>
        <v>9628.56</v>
      </c>
      <c r="I91" s="171">
        <f>+'2007 Stlgt Rates'!I81</f>
        <v>14.65</v>
      </c>
      <c r="J91" s="172">
        <f>+G91/I91-1</f>
        <v>0.27372013651877136</v>
      </c>
      <c r="K91" s="20">
        <f>+'Schedule 1'!D61</f>
        <v>43</v>
      </c>
      <c r="L91" s="174">
        <f>ROUND((G91-I91)*K91*12,0)</f>
        <v>2069</v>
      </c>
      <c r="N91" s="174">
        <f>$D91*$K91*12</f>
        <v>4788.4799999999996</v>
      </c>
      <c r="O91" s="174">
        <f>$E91*$K91*12</f>
        <v>4840.08</v>
      </c>
      <c r="P91" s="174">
        <f>$F91*$K91*12</f>
        <v>0</v>
      </c>
      <c r="Q91" s="174">
        <f>SUM(N91:P91)</f>
        <v>9628.56</v>
      </c>
    </row>
    <row r="92" spans="1:17">
      <c r="B92" s="18"/>
      <c r="D92" s="186"/>
      <c r="E92" s="14"/>
      <c r="F92" s="14"/>
      <c r="G92" s="254"/>
      <c r="H92" s="262"/>
      <c r="I92" s="171"/>
      <c r="J92" s="172"/>
      <c r="K92" s="20"/>
      <c r="L92" s="174"/>
    </row>
    <row r="93" spans="1:17" ht="15.75">
      <c r="A93" s="176" t="s">
        <v>648</v>
      </c>
      <c r="B93" s="183">
        <v>331</v>
      </c>
      <c r="C93" s="176">
        <v>80</v>
      </c>
      <c r="D93" s="177">
        <f>ROUND(+C93*H$150,2)</f>
        <v>9.2799999999999994</v>
      </c>
      <c r="E93" s="178">
        <v>0</v>
      </c>
      <c r="F93" s="178">
        <v>0</v>
      </c>
      <c r="G93" s="255">
        <f>SUM(D93:F93)</f>
        <v>9.2799999999999994</v>
      </c>
      <c r="H93" s="263">
        <f>G93*K93*12</f>
        <v>4120.32</v>
      </c>
      <c r="I93" s="179">
        <f>+'2007 Stlgt Rates'!I147</f>
        <v>9.2729672000000001</v>
      </c>
      <c r="J93" s="180">
        <f>+G93/I93-1</f>
        <v>7.584195919509984E-4</v>
      </c>
      <c r="K93" s="184">
        <f>+'Schedule 1'!E61</f>
        <v>37</v>
      </c>
      <c r="L93" s="200">
        <f>ROUND((G93-I93)*K93*12,0)</f>
        <v>3</v>
      </c>
      <c r="N93" s="243">
        <f>$D93*$K93*12</f>
        <v>4120.32</v>
      </c>
      <c r="O93" s="243">
        <f>$E93*$K93*12</f>
        <v>0</v>
      </c>
      <c r="P93" s="243">
        <f>$F93*$K93*12</f>
        <v>0</v>
      </c>
      <c r="Q93" s="243">
        <f>SUM(N93:P93)</f>
        <v>4120.32</v>
      </c>
    </row>
    <row r="94" spans="1:17">
      <c r="B94" s="18"/>
      <c r="E94" s="14"/>
      <c r="F94" s="14"/>
      <c r="G94" s="254"/>
      <c r="H94" s="262">
        <f>SUM(H87:H93)</f>
        <v>352361.86721236497</v>
      </c>
      <c r="K94" s="20">
        <f>SUM(K87:K93)</f>
        <v>1013</v>
      </c>
      <c r="L94" s="174">
        <f>SUM(L87:L93)</f>
        <v>112281</v>
      </c>
    </row>
    <row r="95" spans="1:17" ht="15.75">
      <c r="A95" s="4" t="s">
        <v>641</v>
      </c>
      <c r="B95" s="12"/>
      <c r="E95" s="14"/>
      <c r="F95" s="14"/>
      <c r="G95" s="254"/>
      <c r="H95" s="262"/>
    </row>
    <row r="96" spans="1:17" ht="15.75">
      <c r="A96" s="4"/>
      <c r="B96" s="12"/>
      <c r="E96" s="14"/>
      <c r="F96" s="14"/>
      <c r="G96" s="254"/>
      <c r="H96" s="262"/>
    </row>
    <row r="97" spans="1:17">
      <c r="A97" s="1" t="s">
        <v>620</v>
      </c>
      <c r="B97" s="18">
        <v>123</v>
      </c>
      <c r="C97" s="1">
        <v>32</v>
      </c>
      <c r="D97" s="186">
        <f>ROUND(+C97*H$150,2)</f>
        <v>3.71</v>
      </c>
      <c r="E97" s="14">
        <f>'Schedule 2'!$H$15</f>
        <v>3.13</v>
      </c>
      <c r="F97" s="14">
        <f>'Schedule 4'!$H32</f>
        <v>4.8992567068207364</v>
      </c>
      <c r="G97" s="254">
        <f>SUM(D97:F97)</f>
        <v>11.739256706820736</v>
      </c>
      <c r="H97" s="262">
        <f>G97*K97*12</f>
        <v>5398320.6751449294</v>
      </c>
      <c r="I97" s="171">
        <f>+'2007 Stlgt Rates'!I87</f>
        <v>11.81</v>
      </c>
      <c r="J97" s="172">
        <f>+G97/I97-1</f>
        <v>-5.9901179660680759E-3</v>
      </c>
      <c r="K97" s="20">
        <f>+'Schedule 1'!C53</f>
        <v>38321</v>
      </c>
      <c r="L97" s="174">
        <f>ROUND((G97-I97)*K97*12,0)</f>
        <v>-32531</v>
      </c>
      <c r="N97" s="174">
        <f>$D97*$K97*12</f>
        <v>1706050.92</v>
      </c>
      <c r="O97" s="174">
        <f>$E97*$K97*12</f>
        <v>1439336.76</v>
      </c>
      <c r="P97" s="174">
        <f>$F97*$K97*12</f>
        <v>2252932.9951449293</v>
      </c>
      <c r="Q97" s="174">
        <f>SUM(N97:P97)</f>
        <v>5398320.6751449294</v>
      </c>
    </row>
    <row r="98" spans="1:17">
      <c r="A98" s="1" t="s">
        <v>621</v>
      </c>
      <c r="B98" s="18">
        <v>124</v>
      </c>
      <c r="C98" s="1">
        <v>45</v>
      </c>
      <c r="D98" s="186">
        <f>ROUND(+C98*H$150,2)</f>
        <v>5.22</v>
      </c>
      <c r="E98" s="14">
        <f>'Schedule 2'!$H$15</f>
        <v>3.13</v>
      </c>
      <c r="F98" s="14">
        <f>'Schedule 4'!$H33</f>
        <v>4.7921360068207361</v>
      </c>
      <c r="G98" s="254">
        <f>SUM(D98:F98)</f>
        <v>13.142136006820735</v>
      </c>
      <c r="H98" s="262">
        <f>G98*K98*12</f>
        <v>7236953.7506039608</v>
      </c>
      <c r="I98" s="171">
        <f>+'2007 Stlgt Rates'!I89</f>
        <v>13.78</v>
      </c>
      <c r="J98" s="172">
        <f>+G98/I98-1</f>
        <v>-4.6289114163952427E-2</v>
      </c>
      <c r="K98" s="20">
        <f>+'Schedule 1'!C54</f>
        <v>45889</v>
      </c>
      <c r="L98" s="174">
        <f>ROUND((G98-I98)*K98*12,0)</f>
        <v>-351251</v>
      </c>
      <c r="N98" s="174">
        <f>$D98*$K98*12</f>
        <v>2874486.96</v>
      </c>
      <c r="O98" s="174">
        <f>$E98*$K98*12</f>
        <v>1723590.84</v>
      </c>
      <c r="P98" s="174">
        <f>$F98*$K98*12</f>
        <v>2638875.950603961</v>
      </c>
      <c r="Q98" s="174">
        <f>SUM(N98:P98)</f>
        <v>7236953.7506039608</v>
      </c>
    </row>
    <row r="99" spans="1:17">
      <c r="A99" s="1" t="s">
        <v>622</v>
      </c>
      <c r="B99" s="18">
        <v>125</v>
      </c>
      <c r="C99" s="1">
        <v>65</v>
      </c>
      <c r="D99" s="186">
        <f>ROUND(+C99*H$150,2)</f>
        <v>7.54</v>
      </c>
      <c r="E99" s="14">
        <f>'Schedule 2'!$H$15</f>
        <v>3.13</v>
      </c>
      <c r="F99" s="14">
        <f>'Schedule 4'!$H34</f>
        <v>4.8336826734874032</v>
      </c>
      <c r="G99" s="254">
        <f>SUM(D99:F99)</f>
        <v>15.503682673487404</v>
      </c>
      <c r="H99" s="262">
        <f>G99*K99*12</f>
        <v>975057.61070096982</v>
      </c>
      <c r="I99" s="171">
        <f>+'2007 Stlgt Rates'!I91</f>
        <v>16.829999999999998</v>
      </c>
      <c r="J99" s="172">
        <f>+G99/I99-1</f>
        <v>-7.8806733601461287E-2</v>
      </c>
      <c r="K99" s="20">
        <f>+'Schedule 1'!C55</f>
        <v>5241</v>
      </c>
      <c r="L99" s="174">
        <f>ROUND((G99-I99)*K99*12,0)</f>
        <v>-83415</v>
      </c>
      <c r="N99" s="174">
        <f>$D99*$K99*12</f>
        <v>474205.68</v>
      </c>
      <c r="O99" s="174">
        <f>$E99*$K99*12</f>
        <v>196851.95999999996</v>
      </c>
      <c r="P99" s="174">
        <f>$F99*$K99*12</f>
        <v>303999.97070096974</v>
      </c>
      <c r="Q99" s="174">
        <f>SUM(N99:P99)</f>
        <v>975057.61070096958</v>
      </c>
    </row>
    <row r="100" spans="1:17">
      <c r="A100" s="1" t="s">
        <v>618</v>
      </c>
      <c r="B100" s="18">
        <v>121</v>
      </c>
      <c r="C100" s="1">
        <v>100</v>
      </c>
      <c r="D100" s="186">
        <f>ROUND(+C100*H$150,2)</f>
        <v>11.6</v>
      </c>
      <c r="E100" s="14">
        <f>'Schedule 2'!$H$15</f>
        <v>3.13</v>
      </c>
      <c r="F100" s="14">
        <f>'Schedule 4'!$H35</f>
        <v>5.5285684401540687</v>
      </c>
      <c r="G100" s="254">
        <f>SUM(D100:F100)</f>
        <v>20.258568440154068</v>
      </c>
      <c r="H100" s="262">
        <f>G100*K100*12</f>
        <v>1277748.4286573974</v>
      </c>
      <c r="I100" s="171">
        <f>+'2007 Stlgt Rates'!I93</f>
        <v>22.13</v>
      </c>
      <c r="J100" s="172">
        <f>+G100/I100-1</f>
        <v>-8.4565366463892011E-2</v>
      </c>
      <c r="K100" s="20">
        <f>+'Schedule 1'!C51</f>
        <v>5256</v>
      </c>
      <c r="L100" s="174">
        <f>ROUND((G100-I100)*K100*12,0)</f>
        <v>-118035</v>
      </c>
      <c r="N100" s="174">
        <f>$D100*$K100*12</f>
        <v>731635.19999999995</v>
      </c>
      <c r="O100" s="174">
        <f>$E100*$K100*12</f>
        <v>197415.36</v>
      </c>
      <c r="P100" s="174">
        <f>$F100*$K100*12</f>
        <v>348697.8686573974</v>
      </c>
      <c r="Q100" s="174">
        <f>SUM(N100:P100)</f>
        <v>1277748.4286573974</v>
      </c>
    </row>
    <row r="101" spans="1:17">
      <c r="A101" s="1" t="s">
        <v>619</v>
      </c>
      <c r="B101" s="18">
        <v>122</v>
      </c>
      <c r="C101" s="1">
        <v>150</v>
      </c>
      <c r="D101" s="186">
        <f>ROUND(+C101*H$150,2)</f>
        <v>17.39</v>
      </c>
      <c r="E101" s="14">
        <f>'Schedule 2'!$H$15</f>
        <v>3.13</v>
      </c>
      <c r="F101" s="14">
        <f>'Schedule 4'!$H36</f>
        <v>5.7345251068207368</v>
      </c>
      <c r="G101" s="254">
        <f>SUM(D101:F101)</f>
        <v>26.254525106820736</v>
      </c>
      <c r="H101" s="262">
        <f>G101*K101*12</f>
        <v>1155304.1228005397</v>
      </c>
      <c r="I101" s="171">
        <f>+'2007 Stlgt Rates'!I95</f>
        <v>29.69</v>
      </c>
      <c r="J101" s="172">
        <f>+G101/I101-1</f>
        <v>-0.11571151543210723</v>
      </c>
      <c r="K101" s="20">
        <f>+'Schedule 1'!C52</f>
        <v>3667</v>
      </c>
      <c r="L101" s="174">
        <f>ROUND((G101-I101)*K101*12,0)</f>
        <v>-151175</v>
      </c>
      <c r="N101" s="174">
        <f>$D101*$K101*12</f>
        <v>765229.56</v>
      </c>
      <c r="O101" s="174">
        <f>$E101*$K101*12</f>
        <v>137732.51999999999</v>
      </c>
      <c r="P101" s="174">
        <f>$F101*$K101*12</f>
        <v>252342.0428005397</v>
      </c>
      <c r="Q101" s="174">
        <f>SUM(N101:P101)</f>
        <v>1155304.1228005397</v>
      </c>
    </row>
    <row r="102" spans="1:17">
      <c r="B102" s="18"/>
      <c r="D102" s="186"/>
      <c r="E102" s="14"/>
      <c r="F102" s="14"/>
      <c r="G102" s="254"/>
      <c r="H102" s="262"/>
      <c r="I102" s="171"/>
      <c r="J102" s="172"/>
      <c r="K102" s="20"/>
      <c r="L102" s="174"/>
    </row>
    <row r="103" spans="1:17" ht="15.75">
      <c r="A103" s="236" t="s">
        <v>686</v>
      </c>
      <c r="B103" s="237">
        <v>452</v>
      </c>
      <c r="C103" s="236">
        <v>363</v>
      </c>
      <c r="D103" s="238">
        <f>ROUND(+C103*H$150,2)+0.02</f>
        <v>42.110000000000007</v>
      </c>
      <c r="E103" s="239">
        <f>+'2007 Stlgt Rates'!G153</f>
        <v>4.5430532000000001</v>
      </c>
      <c r="F103" s="239">
        <f>+'2007 Stlgt Rates'!H153</f>
        <v>19.246662399999995</v>
      </c>
      <c r="G103" s="256">
        <f>SUM(D103:F103)</f>
        <v>65.899715600000007</v>
      </c>
      <c r="H103" s="264">
        <f>G103*K103*12</f>
        <v>5535.5761104000003</v>
      </c>
      <c r="I103" s="240">
        <f>+'2007 Stlgt Rates'!I153</f>
        <v>65.903468399999994</v>
      </c>
      <c r="J103" s="241">
        <f>+G103/I103-1</f>
        <v>-5.6943892197125479E-5</v>
      </c>
      <c r="K103" s="242">
        <f>+'Schedule 1'!C57</f>
        <v>7</v>
      </c>
      <c r="L103" s="243">
        <f>ROUND((G103-I103)*K103*12,0)</f>
        <v>0</v>
      </c>
      <c r="N103" s="243">
        <f>$D103*$K103*12</f>
        <v>3537.2400000000007</v>
      </c>
      <c r="O103" s="243">
        <f>$E103*$K103*12</f>
        <v>381.61646880000001</v>
      </c>
      <c r="P103" s="243">
        <f>$F103*$K103*12</f>
        <v>1616.7196415999997</v>
      </c>
      <c r="Q103" s="243">
        <f>SUM(N103:P103)</f>
        <v>5535.5761104000003</v>
      </c>
    </row>
    <row r="104" spans="1:17">
      <c r="B104" s="18"/>
      <c r="D104" s="186"/>
      <c r="E104" s="14"/>
      <c r="F104" s="14"/>
      <c r="G104" s="254"/>
      <c r="H104" s="262"/>
      <c r="I104" s="171"/>
      <c r="J104" s="172"/>
      <c r="K104" s="20"/>
      <c r="L104" s="174"/>
    </row>
    <row r="105" spans="1:17">
      <c r="A105" s="1" t="s">
        <v>620</v>
      </c>
      <c r="B105" s="18">
        <v>222</v>
      </c>
      <c r="C105" s="1">
        <v>32</v>
      </c>
      <c r="D105" s="186">
        <f>ROUND(+C105*H$150,2)</f>
        <v>3.71</v>
      </c>
      <c r="E105" s="14">
        <f>'Schedule 2'!$H$15</f>
        <v>3.13</v>
      </c>
      <c r="F105" s="14">
        <v>0</v>
      </c>
      <c r="G105" s="254">
        <f>SUM(D105:F105)</f>
        <v>6.84</v>
      </c>
      <c r="H105" s="262">
        <f>G105*K105*12</f>
        <v>18385.919999999998</v>
      </c>
      <c r="I105" s="171">
        <f>+'2007 Stlgt Rates'!I88</f>
        <v>5.86</v>
      </c>
      <c r="J105" s="172">
        <f>+G105/I105-1</f>
        <v>0.1672354948805459</v>
      </c>
      <c r="K105" s="20">
        <f>+'Schedule 1'!D53</f>
        <v>224</v>
      </c>
      <c r="L105" s="174">
        <f>ROUND((G105-I105)*K105*12,0)</f>
        <v>2634</v>
      </c>
      <c r="N105" s="174">
        <f>$D105*$K105*12</f>
        <v>9972.48</v>
      </c>
      <c r="O105" s="174">
        <f>$E105*$K105*12</f>
        <v>8413.44</v>
      </c>
      <c r="P105" s="174">
        <f>$F105*$K105*12</f>
        <v>0</v>
      </c>
      <c r="Q105" s="174">
        <f>SUM(N105:P105)</f>
        <v>18385.919999999998</v>
      </c>
    </row>
    <row r="106" spans="1:17">
      <c r="A106" s="1" t="s">
        <v>621</v>
      </c>
      <c r="B106" s="18">
        <v>223</v>
      </c>
      <c r="C106" s="1">
        <v>45</v>
      </c>
      <c r="D106" s="186">
        <f>ROUND(+C106*H$150,2)</f>
        <v>5.22</v>
      </c>
      <c r="E106" s="14">
        <f>'Schedule 2'!$H$15</f>
        <v>3.13</v>
      </c>
      <c r="F106" s="14">
        <v>0</v>
      </c>
      <c r="G106" s="254">
        <f>SUM(D106:F106)</f>
        <v>8.35</v>
      </c>
      <c r="H106" s="262">
        <f>G106*K106*12</f>
        <v>11022</v>
      </c>
      <c r="I106" s="171">
        <f>+'2007 Stlgt Rates'!I90</f>
        <v>7.83</v>
      </c>
      <c r="J106" s="172">
        <f>+G106/I106-1</f>
        <v>6.6411238825031971E-2</v>
      </c>
      <c r="K106" s="20">
        <f>+'Schedule 1'!D54</f>
        <v>110</v>
      </c>
      <c r="L106" s="174">
        <f>ROUND((G106-I106)*K106*12,0)</f>
        <v>686</v>
      </c>
      <c r="N106" s="174">
        <f>$D106*$K106*12</f>
        <v>6890.4</v>
      </c>
      <c r="O106" s="174">
        <f>$E106*$K106*12</f>
        <v>4131.6000000000004</v>
      </c>
      <c r="P106" s="174">
        <f>$F106*$K106*12</f>
        <v>0</v>
      </c>
      <c r="Q106" s="174">
        <f>SUM(N106:P106)</f>
        <v>11022</v>
      </c>
    </row>
    <row r="107" spans="1:17">
      <c r="A107" s="1" t="s">
        <v>622</v>
      </c>
      <c r="B107" s="18">
        <v>224</v>
      </c>
      <c r="C107" s="1">
        <v>65</v>
      </c>
      <c r="D107" s="186">
        <f>ROUND(+C107*H$150,2)</f>
        <v>7.54</v>
      </c>
      <c r="E107" s="14">
        <f>'Schedule 2'!$H$15</f>
        <v>3.13</v>
      </c>
      <c r="F107" s="14">
        <v>0</v>
      </c>
      <c r="G107" s="254">
        <f>SUM(D107:F107)</f>
        <v>10.67</v>
      </c>
      <c r="H107" s="262">
        <f>G107*K107*12</f>
        <v>29705.279999999999</v>
      </c>
      <c r="I107" s="171">
        <f>+'2007 Stlgt Rates'!I92</f>
        <v>10.86</v>
      </c>
      <c r="J107" s="172">
        <f>+G107/I107-1</f>
        <v>-1.7495395948434522E-2</v>
      </c>
      <c r="K107" s="20">
        <f>+'Schedule 1'!D55</f>
        <v>232</v>
      </c>
      <c r="L107" s="174">
        <f>ROUND((G107-I107)*K107*12,0)</f>
        <v>-529</v>
      </c>
      <c r="N107" s="174">
        <f>$D107*$K107*12</f>
        <v>20991.360000000001</v>
      </c>
      <c r="O107" s="174">
        <f>$E107*$K107*12</f>
        <v>8713.92</v>
      </c>
      <c r="P107" s="174">
        <f>$F107*$K107*12</f>
        <v>0</v>
      </c>
      <c r="Q107" s="174">
        <f>SUM(N107:P107)</f>
        <v>29705.279999999999</v>
      </c>
    </row>
    <row r="108" spans="1:17">
      <c r="A108" s="1" t="s">
        <v>618</v>
      </c>
      <c r="B108" s="18">
        <v>221</v>
      </c>
      <c r="C108" s="1">
        <v>100</v>
      </c>
      <c r="D108" s="186">
        <f>ROUND(+C108*H$150,2)</f>
        <v>11.6</v>
      </c>
      <c r="E108" s="14">
        <f>'Schedule 2'!$H$15</f>
        <v>3.13</v>
      </c>
      <c r="F108" s="14">
        <v>0</v>
      </c>
      <c r="G108" s="254">
        <f>SUM(D108:F108)</f>
        <v>14.73</v>
      </c>
      <c r="H108" s="262">
        <f>G108*K108*12</f>
        <v>28281.600000000002</v>
      </c>
      <c r="I108" s="171">
        <f>+'2007 Stlgt Rates'!I94</f>
        <v>16.2</v>
      </c>
      <c r="J108" s="172">
        <f>+G108/I108-1</f>
        <v>-9.0740740740740677E-2</v>
      </c>
      <c r="K108" s="20">
        <f>+'Schedule 1'!D51</f>
        <v>160</v>
      </c>
      <c r="L108" s="174">
        <f>ROUND((G108-I108)*K108*12,0)</f>
        <v>-2822</v>
      </c>
      <c r="N108" s="174">
        <f>$D108*$K108*12</f>
        <v>22272</v>
      </c>
      <c r="O108" s="174">
        <f>$E108*$K108*12</f>
        <v>6009.5999999999995</v>
      </c>
      <c r="P108" s="174">
        <f>$F108*$K108*12</f>
        <v>0</v>
      </c>
      <c r="Q108" s="174">
        <f>SUM(N108:P108)</f>
        <v>28281.599999999999</v>
      </c>
    </row>
    <row r="109" spans="1:17">
      <c r="B109" s="18"/>
      <c r="D109" s="186"/>
      <c r="E109" s="14"/>
      <c r="F109" s="14"/>
      <c r="G109" s="254"/>
      <c r="H109" s="262"/>
      <c r="I109" s="171"/>
      <c r="J109" s="172"/>
      <c r="K109" s="20"/>
      <c r="L109" s="174"/>
    </row>
    <row r="110" spans="1:17" ht="15.75">
      <c r="A110" s="176" t="s">
        <v>620</v>
      </c>
      <c r="B110" s="183">
        <v>323</v>
      </c>
      <c r="C110" s="176">
        <v>32</v>
      </c>
      <c r="D110" s="177">
        <f t="shared" ref="D110:D115" si="54">ROUND(+C110*H$150,2)</f>
        <v>3.71</v>
      </c>
      <c r="E110" s="178">
        <v>0</v>
      </c>
      <c r="F110" s="178">
        <v>0</v>
      </c>
      <c r="G110" s="255">
        <f t="shared" ref="G110:G115" si="55">SUM(D110:F110)</f>
        <v>3.71</v>
      </c>
      <c r="H110" s="264">
        <f t="shared" ref="H110:H115" si="56">G110*K110*12</f>
        <v>280431.48</v>
      </c>
      <c r="I110" s="179">
        <f>+'2007 Stlgt Rates'!F155</f>
        <v>3.7229295999999992</v>
      </c>
      <c r="J110" s="180">
        <f t="shared" ref="J110:J115" si="57">+G110/I110-1</f>
        <v>-3.4729638723223211E-3</v>
      </c>
      <c r="K110" s="181">
        <f>+'Schedule 1'!E53</f>
        <v>6299</v>
      </c>
      <c r="L110" s="182">
        <f t="shared" ref="L110:L115" si="58">ROUND((G110-I110)*K110*12,0)</f>
        <v>-977</v>
      </c>
      <c r="N110" s="243">
        <f t="shared" ref="N110:N115" si="59">$D110*$K110*12</f>
        <v>280431.48</v>
      </c>
      <c r="O110" s="243">
        <f t="shared" ref="O110:O115" si="60">$E110*$K110*12</f>
        <v>0</v>
      </c>
      <c r="P110" s="243">
        <f t="shared" ref="P110:P115" si="61">$F110*$K110*12</f>
        <v>0</v>
      </c>
      <c r="Q110" s="243">
        <f t="shared" ref="Q110:Q115" si="62">SUM(N110:P110)</f>
        <v>280431.48</v>
      </c>
    </row>
    <row r="111" spans="1:17" ht="15.75">
      <c r="A111" s="176" t="s">
        <v>621</v>
      </c>
      <c r="B111" s="183">
        <v>324</v>
      </c>
      <c r="C111" s="176">
        <v>45</v>
      </c>
      <c r="D111" s="177">
        <f t="shared" si="54"/>
        <v>5.22</v>
      </c>
      <c r="E111" s="178">
        <v>0</v>
      </c>
      <c r="F111" s="178">
        <v>0</v>
      </c>
      <c r="G111" s="255">
        <f t="shared" si="55"/>
        <v>5.22</v>
      </c>
      <c r="H111" s="264">
        <f t="shared" si="56"/>
        <v>157101.12</v>
      </c>
      <c r="I111" s="179">
        <f>+'2007 Stlgt Rates'!F156</f>
        <v>5.2204235999999993</v>
      </c>
      <c r="J111" s="180">
        <f t="shared" si="57"/>
        <v>-8.1142840592351995E-5</v>
      </c>
      <c r="K111" s="181">
        <f>+'Schedule 1'!E54</f>
        <v>2508</v>
      </c>
      <c r="L111" s="182">
        <f t="shared" si="58"/>
        <v>-13</v>
      </c>
      <c r="N111" s="243">
        <f t="shared" si="59"/>
        <v>157101.12</v>
      </c>
      <c r="O111" s="243">
        <f t="shared" si="60"/>
        <v>0</v>
      </c>
      <c r="P111" s="243">
        <f t="shared" si="61"/>
        <v>0</v>
      </c>
      <c r="Q111" s="243">
        <f t="shared" si="62"/>
        <v>157101.12</v>
      </c>
    </row>
    <row r="112" spans="1:17" ht="15.75">
      <c r="A112" s="176" t="s">
        <v>622</v>
      </c>
      <c r="B112" s="183">
        <v>325</v>
      </c>
      <c r="C112" s="176">
        <v>65</v>
      </c>
      <c r="D112" s="177">
        <f t="shared" si="54"/>
        <v>7.54</v>
      </c>
      <c r="E112" s="178">
        <v>0</v>
      </c>
      <c r="F112" s="178">
        <v>0</v>
      </c>
      <c r="G112" s="255">
        <f t="shared" si="55"/>
        <v>7.54</v>
      </c>
      <c r="H112" s="264">
        <f t="shared" si="56"/>
        <v>117533.52000000002</v>
      </c>
      <c r="I112" s="179">
        <f>+'2007 Stlgt Rates'!F157</f>
        <v>7.532826</v>
      </c>
      <c r="J112" s="180">
        <f t="shared" si="57"/>
        <v>9.523650221046065E-4</v>
      </c>
      <c r="K112" s="181">
        <f>+'Schedule 1'!E55</f>
        <v>1299</v>
      </c>
      <c r="L112" s="182">
        <f t="shared" si="58"/>
        <v>112</v>
      </c>
      <c r="N112" s="243">
        <f t="shared" si="59"/>
        <v>117533.52000000002</v>
      </c>
      <c r="O112" s="243">
        <f t="shared" si="60"/>
        <v>0</v>
      </c>
      <c r="P112" s="243">
        <f t="shared" si="61"/>
        <v>0</v>
      </c>
      <c r="Q112" s="243">
        <f t="shared" si="62"/>
        <v>117533.52000000002</v>
      </c>
    </row>
    <row r="113" spans="1:17" ht="15.75">
      <c r="A113" s="176" t="s">
        <v>618</v>
      </c>
      <c r="B113" s="183">
        <v>321</v>
      </c>
      <c r="C113" s="176">
        <v>100</v>
      </c>
      <c r="D113" s="177">
        <f t="shared" si="54"/>
        <v>11.6</v>
      </c>
      <c r="E113" s="178">
        <v>0</v>
      </c>
      <c r="F113" s="178">
        <v>0</v>
      </c>
      <c r="G113" s="255">
        <f t="shared" si="55"/>
        <v>11.6</v>
      </c>
      <c r="H113" s="264">
        <f t="shared" si="56"/>
        <v>233438.40000000002</v>
      </c>
      <c r="I113" s="179">
        <f>+'2007 Stlgt Rates'!F158</f>
        <v>11.5970484</v>
      </c>
      <c r="J113" s="180">
        <f t="shared" si="57"/>
        <v>2.5451303626522481E-4</v>
      </c>
      <c r="K113" s="181">
        <f>+'Schedule 1'!E51</f>
        <v>1677</v>
      </c>
      <c r="L113" s="182">
        <f t="shared" si="58"/>
        <v>59</v>
      </c>
      <c r="N113" s="243">
        <f t="shared" si="59"/>
        <v>233438.40000000002</v>
      </c>
      <c r="O113" s="243">
        <f t="shared" si="60"/>
        <v>0</v>
      </c>
      <c r="P113" s="243">
        <f t="shared" si="61"/>
        <v>0</v>
      </c>
      <c r="Q113" s="243">
        <f t="shared" si="62"/>
        <v>233438.40000000002</v>
      </c>
    </row>
    <row r="114" spans="1:17" ht="15.75">
      <c r="A114" s="176" t="s">
        <v>619</v>
      </c>
      <c r="B114" s="183">
        <v>322</v>
      </c>
      <c r="C114" s="176">
        <v>150</v>
      </c>
      <c r="D114" s="177">
        <f t="shared" si="54"/>
        <v>17.39</v>
      </c>
      <c r="E114" s="178">
        <v>0</v>
      </c>
      <c r="F114" s="178">
        <v>0</v>
      </c>
      <c r="G114" s="255">
        <f t="shared" si="55"/>
        <v>17.39</v>
      </c>
      <c r="H114" s="264">
        <f t="shared" si="56"/>
        <v>17946.48</v>
      </c>
      <c r="I114" s="179">
        <f>+'2007 Stlgt Rates'!F159</f>
        <v>17.368983199999995</v>
      </c>
      <c r="J114" s="180">
        <f t="shared" si="57"/>
        <v>1.2100190182695592E-3</v>
      </c>
      <c r="K114" s="181">
        <f>+'Schedule 1'!E52</f>
        <v>86</v>
      </c>
      <c r="L114" s="182">
        <f t="shared" si="58"/>
        <v>22</v>
      </c>
      <c r="N114" s="243">
        <f t="shared" si="59"/>
        <v>17946.48</v>
      </c>
      <c r="O114" s="243">
        <f t="shared" si="60"/>
        <v>0</v>
      </c>
      <c r="P114" s="243">
        <f t="shared" si="61"/>
        <v>0</v>
      </c>
      <c r="Q114" s="243">
        <f t="shared" si="62"/>
        <v>17946.48</v>
      </c>
    </row>
    <row r="115" spans="1:17" ht="15.75">
      <c r="A115" s="176" t="s">
        <v>623</v>
      </c>
      <c r="B115" s="183">
        <v>327</v>
      </c>
      <c r="C115" s="176">
        <v>183</v>
      </c>
      <c r="D115" s="177">
        <f t="shared" si="54"/>
        <v>21.22</v>
      </c>
      <c r="E115" s="178">
        <v>0</v>
      </c>
      <c r="F115" s="178">
        <v>0</v>
      </c>
      <c r="G115" s="255">
        <f t="shared" si="55"/>
        <v>21.22</v>
      </c>
      <c r="H115" s="263">
        <f t="shared" si="56"/>
        <v>763.92</v>
      </c>
      <c r="I115" s="179">
        <f>+'2007 Stlgt Rates'!F160</f>
        <v>21.243737200000002</v>
      </c>
      <c r="J115" s="180">
        <f t="shared" si="57"/>
        <v>-1.1173740183532122E-3</v>
      </c>
      <c r="K115" s="184">
        <f>+'Schedule 1'!E56</f>
        <v>3</v>
      </c>
      <c r="L115" s="182">
        <f t="shared" si="58"/>
        <v>-1</v>
      </c>
      <c r="N115" s="243">
        <f t="shared" si="59"/>
        <v>763.92</v>
      </c>
      <c r="O115" s="243">
        <f t="shared" si="60"/>
        <v>0</v>
      </c>
      <c r="P115" s="243">
        <f t="shared" si="61"/>
        <v>0</v>
      </c>
      <c r="Q115" s="243">
        <f t="shared" si="62"/>
        <v>763.92</v>
      </c>
    </row>
    <row r="116" spans="1:17">
      <c r="B116" s="18"/>
      <c r="D116" s="186"/>
      <c r="E116" s="14"/>
      <c r="F116" s="14"/>
      <c r="G116" s="254"/>
      <c r="H116" s="262">
        <f>SUM(H97:H115)</f>
        <v>16943529.884018198</v>
      </c>
      <c r="I116" s="171"/>
      <c r="J116" s="172"/>
      <c r="K116" s="20">
        <f>SUM(K97:K115)</f>
        <v>110979</v>
      </c>
      <c r="L116" s="174">
        <f>SUM(L97:L115)</f>
        <v>-737236</v>
      </c>
    </row>
    <row r="117" spans="1:17">
      <c r="B117" s="18"/>
      <c r="E117" s="14"/>
      <c r="F117" s="14"/>
      <c r="G117" s="254"/>
      <c r="H117" s="262"/>
    </row>
    <row r="118" spans="1:17" ht="15.75">
      <c r="A118" s="4" t="s">
        <v>81</v>
      </c>
      <c r="B118" s="12"/>
      <c r="E118" s="14"/>
      <c r="F118" s="14"/>
      <c r="G118" s="254"/>
      <c r="H118" s="262"/>
    </row>
    <row r="119" spans="1:17">
      <c r="B119" s="18"/>
      <c r="E119" s="14"/>
      <c r="F119" s="14"/>
      <c r="G119" s="254"/>
      <c r="H119" s="262"/>
    </row>
    <row r="120" spans="1:17">
      <c r="A120" s="1" t="s">
        <v>90</v>
      </c>
      <c r="B120" s="18">
        <v>142</v>
      </c>
      <c r="C120" s="1">
        <v>100</v>
      </c>
      <c r="D120" s="186">
        <f>ROUND(+C120*H$150,2)</f>
        <v>11.6</v>
      </c>
      <c r="E120" s="14">
        <f>+'Schedule 2'!H17</f>
        <v>7.5</v>
      </c>
      <c r="F120" s="14">
        <f>'Schedule 4'!$H40</f>
        <v>8.2159817734874014</v>
      </c>
      <c r="G120" s="254">
        <f>SUM(D120:F120)</f>
        <v>27.315981773487401</v>
      </c>
      <c r="H120" s="262">
        <f>G120*K120*12</f>
        <v>20978.674002038322</v>
      </c>
      <c r="I120" s="171">
        <f>+'2007 Stlgt Rates'!I103</f>
        <v>25.2</v>
      </c>
      <c r="J120" s="172">
        <f>+G120/I120-1</f>
        <v>8.396753069394447E-2</v>
      </c>
      <c r="K120" s="20">
        <f>+'Schedule 1'!C67</f>
        <v>64</v>
      </c>
      <c r="L120" s="174">
        <f>ROUND((G120-I120)*K120*12,0)</f>
        <v>1625</v>
      </c>
      <c r="N120" s="174">
        <f>$D120*$K120*12</f>
        <v>8908.7999999999993</v>
      </c>
      <c r="O120" s="174">
        <f>$E120*$K120*12</f>
        <v>5760</v>
      </c>
      <c r="P120" s="174">
        <f>$F120*$K120*12</f>
        <v>6309.8740020383248</v>
      </c>
      <c r="Q120" s="174">
        <f>SUM(N120:P120)</f>
        <v>20978.674002038322</v>
      </c>
    </row>
    <row r="121" spans="1:17">
      <c r="A121" s="1" t="s">
        <v>31</v>
      </c>
      <c r="B121" s="18">
        <v>140</v>
      </c>
      <c r="C121" s="1">
        <v>150</v>
      </c>
      <c r="D121" s="186">
        <f>ROUND(+C121*H$150,2)</f>
        <v>17.39</v>
      </c>
      <c r="E121" s="14">
        <f>+'Schedule 2'!H18</f>
        <v>5</v>
      </c>
      <c r="F121" s="14">
        <f>'Schedule 4'!$H41</f>
        <v>6.3045617734874027</v>
      </c>
      <c r="G121" s="254">
        <f>SUM(D121:F121)</f>
        <v>28.694561773487404</v>
      </c>
      <c r="H121" s="262">
        <f>G121*K121*12</f>
        <v>418366.71065744641</v>
      </c>
      <c r="I121" s="171">
        <f>+'2007 Stlgt Rates'!I101</f>
        <v>36.36</v>
      </c>
      <c r="J121" s="172">
        <f>+G121/I121-1</f>
        <v>-0.21082063329242562</v>
      </c>
      <c r="K121" s="20">
        <f>+'Schedule 1'!C65</f>
        <v>1215</v>
      </c>
      <c r="L121" s="174">
        <f>ROUND((G121-I121)*K121*12,0)</f>
        <v>-111762</v>
      </c>
      <c r="N121" s="174">
        <f>$D121*$K121*12</f>
        <v>253546.2</v>
      </c>
      <c r="O121" s="174">
        <f>$E121*$K121*12</f>
        <v>72900</v>
      </c>
      <c r="P121" s="174">
        <f>$F121*$K121*12</f>
        <v>91920.510657446343</v>
      </c>
      <c r="Q121" s="174">
        <f>SUM(N121:P121)</f>
        <v>418366.71065744635</v>
      </c>
    </row>
    <row r="122" spans="1:17">
      <c r="A122" s="1" t="s">
        <v>32</v>
      </c>
      <c r="B122" s="18">
        <v>141</v>
      </c>
      <c r="C122" s="1">
        <v>360</v>
      </c>
      <c r="D122" s="186">
        <f>ROUND(+C122*H$150,2)</f>
        <v>41.75</v>
      </c>
      <c r="E122" s="186">
        <f>'Schedule 2'!$H19</f>
        <v>7.5</v>
      </c>
      <c r="F122" s="186">
        <f>'Schedule 4'!$H42</f>
        <v>9.6880184401540692</v>
      </c>
      <c r="G122" s="257">
        <f>SUM(D122:F122)</f>
        <v>58.938018440154067</v>
      </c>
      <c r="H122" s="262">
        <f>G122*K122*12</f>
        <v>589144.43232778006</v>
      </c>
      <c r="I122" s="171">
        <f>+'2007 Stlgt Rates'!I102</f>
        <v>74.61</v>
      </c>
      <c r="J122" s="172">
        <f>+G122/I122-1</f>
        <v>-0.21005202465950856</v>
      </c>
      <c r="K122" s="20">
        <f>+'Schedule 1'!C66</f>
        <v>833</v>
      </c>
      <c r="L122" s="174">
        <f>ROUND((G122-I122)*K122*12,0)</f>
        <v>-156657</v>
      </c>
      <c r="N122" s="174">
        <f>$D122*$K122*12</f>
        <v>417333</v>
      </c>
      <c r="O122" s="174">
        <f>$E122*$K122*12</f>
        <v>74970</v>
      </c>
      <c r="P122" s="174">
        <f>$F122*$K122*12</f>
        <v>96841.432327780072</v>
      </c>
      <c r="Q122" s="174">
        <f>SUM(N122:P122)</f>
        <v>589144.43232778006</v>
      </c>
    </row>
    <row r="123" spans="1:17">
      <c r="B123" s="18"/>
      <c r="D123" s="186"/>
      <c r="E123" s="186"/>
      <c r="F123" s="186"/>
      <c r="G123" s="257"/>
      <c r="H123" s="261"/>
      <c r="I123" s="171"/>
      <c r="J123" s="172"/>
      <c r="K123" s="20"/>
      <c r="L123" s="174"/>
    </row>
    <row r="124" spans="1:17">
      <c r="A124" s="176" t="s">
        <v>96</v>
      </c>
      <c r="B124" s="183">
        <v>143</v>
      </c>
      <c r="C124" s="176">
        <v>67</v>
      </c>
      <c r="D124" s="177">
        <f>ROUND(+C124*H$150,2)</f>
        <v>7.77</v>
      </c>
      <c r="E124" s="177">
        <f>+'Schedule 2'!H17</f>
        <v>7.5</v>
      </c>
      <c r="F124" s="177">
        <v>0</v>
      </c>
      <c r="G124" s="258">
        <f>SUM(D124:F124)</f>
        <v>15.27</v>
      </c>
      <c r="H124" s="264">
        <f>G124*K124*12</f>
        <v>183.24</v>
      </c>
      <c r="I124" s="179">
        <f>+'2007 Stlgt Rates'!I166</f>
        <v>21.348846399999999</v>
      </c>
      <c r="J124" s="180">
        <f>+G124/I124-1</f>
        <v>-0.28473887001219889</v>
      </c>
      <c r="K124" s="181">
        <f>+'Schedule 1'!D68</f>
        <v>1</v>
      </c>
      <c r="L124" s="182">
        <f>ROUND((G124-I124)*K124*12,0)</f>
        <v>-73</v>
      </c>
      <c r="N124" s="332">
        <f>$D124*$K124*12</f>
        <v>93.24</v>
      </c>
      <c r="O124" s="332">
        <f>$E124*$K124*12</f>
        <v>90</v>
      </c>
      <c r="P124" s="332">
        <f>$F124*$K124*12</f>
        <v>0</v>
      </c>
      <c r="Q124" s="332">
        <f>SUM(N124:P124)</f>
        <v>183.24</v>
      </c>
    </row>
    <row r="125" spans="1:17">
      <c r="B125" s="18"/>
      <c r="G125" s="251"/>
      <c r="H125" s="261"/>
    </row>
    <row r="126" spans="1:17" ht="15.75">
      <c r="A126" s="176" t="s">
        <v>90</v>
      </c>
      <c r="B126" s="183">
        <v>343</v>
      </c>
      <c r="C126" s="176">
        <v>100</v>
      </c>
      <c r="D126" s="177">
        <f>ROUND(+C126*H$150,2)</f>
        <v>11.6</v>
      </c>
      <c r="E126" s="176">
        <v>0</v>
      </c>
      <c r="F126" s="176">
        <v>0</v>
      </c>
      <c r="G126" s="258">
        <f>SUM(D126:F126)</f>
        <v>11.6</v>
      </c>
      <c r="H126" s="264">
        <f>G126*K126*12</f>
        <v>9187.2000000000007</v>
      </c>
      <c r="I126" s="179">
        <f>+'2007 Stlgt Rates'!F168</f>
        <v>11.5970484</v>
      </c>
      <c r="J126" s="180">
        <f>+G126/I126-1</f>
        <v>2.5451303626522481E-4</v>
      </c>
      <c r="K126" s="181">
        <f>+'Schedule 1'!E67</f>
        <v>66</v>
      </c>
      <c r="L126" s="182">
        <f>ROUND((G126-I126)*K126*12,0)</f>
        <v>2</v>
      </c>
      <c r="N126" s="243">
        <f>$D126*$K126*12</f>
        <v>9187.2000000000007</v>
      </c>
      <c r="O126" s="243">
        <f>$E126*$K126*12</f>
        <v>0</v>
      </c>
      <c r="P126" s="243">
        <f>$F126*$K126*12</f>
        <v>0</v>
      </c>
      <c r="Q126" s="243">
        <f>SUM(N126:P126)</f>
        <v>9187.2000000000007</v>
      </c>
    </row>
    <row r="127" spans="1:17" ht="15.75">
      <c r="A127" s="176" t="s">
        <v>31</v>
      </c>
      <c r="B127" s="183">
        <v>342</v>
      </c>
      <c r="C127" s="176">
        <v>150</v>
      </c>
      <c r="D127" s="177">
        <f>ROUND(+C127*H$150,2)</f>
        <v>17.39</v>
      </c>
      <c r="E127" s="176">
        <v>0</v>
      </c>
      <c r="F127" s="176">
        <v>0</v>
      </c>
      <c r="G127" s="258">
        <f>SUM(D127:F127)</f>
        <v>17.39</v>
      </c>
      <c r="H127" s="264">
        <f>G127*K127*12</f>
        <v>31928.04</v>
      </c>
      <c r="I127" s="179">
        <f>+'2007 Stlgt Rates'!F169</f>
        <v>17.368983199999995</v>
      </c>
      <c r="J127" s="180">
        <f>+G127/I127-1</f>
        <v>1.2100190182695592E-3</v>
      </c>
      <c r="K127" s="181">
        <f>+'Schedule 1'!E65</f>
        <v>153</v>
      </c>
      <c r="L127" s="182">
        <f>ROUND((G127-I127)*K127*12,0)</f>
        <v>39</v>
      </c>
      <c r="N127" s="243">
        <f>$D127*$K127*12</f>
        <v>31928.04</v>
      </c>
      <c r="O127" s="243">
        <f>$E127*$K127*12</f>
        <v>0</v>
      </c>
      <c r="P127" s="243">
        <f>$F127*$K127*12</f>
        <v>0</v>
      </c>
      <c r="Q127" s="243">
        <f>SUM(N127:P127)</f>
        <v>31928.04</v>
      </c>
    </row>
    <row r="128" spans="1:17" ht="15.75">
      <c r="A128" s="176" t="s">
        <v>32</v>
      </c>
      <c r="B128" s="183">
        <v>341</v>
      </c>
      <c r="C128" s="176">
        <v>360</v>
      </c>
      <c r="D128" s="177">
        <f>ROUND(+C128*H$150,2)</f>
        <v>41.75</v>
      </c>
      <c r="E128" s="176">
        <v>0</v>
      </c>
      <c r="F128" s="176">
        <v>0</v>
      </c>
      <c r="G128" s="258">
        <f>SUM(D128:F128)</f>
        <v>41.75</v>
      </c>
      <c r="H128" s="264">
        <f>G128*K128*12</f>
        <v>5511</v>
      </c>
      <c r="I128" s="179">
        <f>+'2007 Stlgt Rates'!F170</f>
        <v>41.730960000000003</v>
      </c>
      <c r="J128" s="180">
        <f>+G128/I128-1</f>
        <v>4.5625597877441137E-4</v>
      </c>
      <c r="K128" s="181">
        <f>+'Schedule 1'!E66</f>
        <v>11</v>
      </c>
      <c r="L128" s="182">
        <f>ROUND((G128-I128)*K128*12,0)</f>
        <v>3</v>
      </c>
      <c r="N128" s="243">
        <f>$D128*$K128*12</f>
        <v>5511</v>
      </c>
      <c r="O128" s="243">
        <f>$E128*$K128*12</f>
        <v>0</v>
      </c>
      <c r="P128" s="243">
        <f>$F128*$K128*12</f>
        <v>0</v>
      </c>
      <c r="Q128" s="243">
        <f>SUM(N128:P128)</f>
        <v>5511</v>
      </c>
    </row>
    <row r="129" spans="1:17" ht="15.75">
      <c r="A129" s="176" t="s">
        <v>100</v>
      </c>
      <c r="B129" s="183">
        <v>344</v>
      </c>
      <c r="C129" s="176">
        <v>75</v>
      </c>
      <c r="D129" s="177">
        <f>ROUND(+C129*H$150,2)</f>
        <v>8.6999999999999993</v>
      </c>
      <c r="E129" s="176">
        <v>0</v>
      </c>
      <c r="F129" s="176">
        <v>0</v>
      </c>
      <c r="G129" s="258">
        <f>SUM(D129:F129)</f>
        <v>8.6999999999999993</v>
      </c>
      <c r="H129" s="264">
        <f>G129*K129*12</f>
        <v>7516.7999999999993</v>
      </c>
      <c r="I129" s="179">
        <f>+'2007 Stlgt Rates'!F171</f>
        <v>8.7007060000000003</v>
      </c>
      <c r="J129" s="180">
        <f>+G129/I129-1</f>
        <v>-8.1142840592574039E-5</v>
      </c>
      <c r="K129" s="181">
        <f>+'Schedule 1'!E69</f>
        <v>72</v>
      </c>
      <c r="L129" s="182">
        <f>ROUND((G129-I129)*K129*12,0)</f>
        <v>-1</v>
      </c>
      <c r="N129" s="243">
        <f>$D129*$K129*12</f>
        <v>7516.7999999999993</v>
      </c>
      <c r="O129" s="243">
        <f>$E129*$K129*12</f>
        <v>0</v>
      </c>
      <c r="P129" s="243">
        <f>$F129*$K129*12</f>
        <v>0</v>
      </c>
      <c r="Q129" s="243">
        <f>SUM(N129:P129)</f>
        <v>7516.7999999999993</v>
      </c>
    </row>
    <row r="130" spans="1:17" ht="15.75">
      <c r="A130" s="176" t="s">
        <v>96</v>
      </c>
      <c r="B130" s="183">
        <v>345</v>
      </c>
      <c r="C130" s="176">
        <v>67</v>
      </c>
      <c r="D130" s="177">
        <f>ROUND(+C130*H$150,2)</f>
        <v>7.77</v>
      </c>
      <c r="E130" s="176">
        <v>0</v>
      </c>
      <c r="F130" s="176">
        <v>0</v>
      </c>
      <c r="G130" s="258">
        <f>SUM(D130:F130)</f>
        <v>7.77</v>
      </c>
      <c r="H130" s="263">
        <f>G130*K130*12</f>
        <v>279.71999999999997</v>
      </c>
      <c r="I130" s="179">
        <f>+'2007 Stlgt Rates'!F172</f>
        <v>7.754723199999999</v>
      </c>
      <c r="J130" s="180">
        <f>+G130/I130-1</f>
        <v>1.9699993934019222E-3</v>
      </c>
      <c r="K130" s="184">
        <f>+'Schedule 1'!E70</f>
        <v>3</v>
      </c>
      <c r="L130" s="200">
        <f>ROUND((G130-I130)*K130*12,0)</f>
        <v>1</v>
      </c>
      <c r="N130" s="243">
        <f>$D130*$K130*12</f>
        <v>279.71999999999997</v>
      </c>
      <c r="O130" s="243">
        <f>$E130*$K130*12</f>
        <v>0</v>
      </c>
      <c r="P130" s="243">
        <f>$F130*$K130*12</f>
        <v>0</v>
      </c>
      <c r="Q130" s="243">
        <f>SUM(N130:P130)</f>
        <v>279.71999999999997</v>
      </c>
    </row>
    <row r="131" spans="1:17">
      <c r="D131" s="186"/>
      <c r="G131" s="257"/>
      <c r="H131" s="261">
        <f>SUM(H120:H130)</f>
        <v>1083095.8169872647</v>
      </c>
      <c r="I131" s="171"/>
      <c r="J131" s="172"/>
      <c r="K131" s="20">
        <f>SUM(K120:K130)</f>
        <v>2418</v>
      </c>
      <c r="L131" s="174">
        <f>SUM(L120:L130)</f>
        <v>-266823</v>
      </c>
    </row>
    <row r="132" spans="1:17" ht="15.75" thickBot="1">
      <c r="G132" s="251"/>
      <c r="H132" s="252"/>
    </row>
    <row r="133" spans="1:17" ht="16.5" thickBot="1">
      <c r="A133" s="169" t="s">
        <v>642</v>
      </c>
      <c r="B133" s="169"/>
      <c r="D133" s="29"/>
      <c r="E133" s="29"/>
      <c r="F133" s="29"/>
      <c r="G133" s="259"/>
      <c r="H133" s="260">
        <f>SUM(H14:H131)/2</f>
        <v>22392225.624324627</v>
      </c>
      <c r="K133" s="324">
        <f>SUM(K14:K132)/2</f>
        <v>134287</v>
      </c>
      <c r="L133" s="325">
        <f>SUM(L14:L131)/2</f>
        <v>-611833</v>
      </c>
      <c r="N133" s="322">
        <f>SUM(N14:N132)</f>
        <v>10165203.2891868</v>
      </c>
      <c r="O133" s="323">
        <f>SUM(O14:O132)</f>
        <v>4909748.6564688003</v>
      </c>
      <c r="P133" s="323">
        <f>SUM(P14:P132)</f>
        <v>7317273.678669028</v>
      </c>
      <c r="Q133" s="202">
        <f>SUM(Q14:Q132)</f>
        <v>22392225.624324631</v>
      </c>
    </row>
    <row r="137" spans="1:17" ht="15.75">
      <c r="D137" s="4" t="s">
        <v>688</v>
      </c>
      <c r="E137" s="4"/>
      <c r="H137" s="34"/>
    </row>
    <row r="138" spans="1:17">
      <c r="H138" s="34"/>
    </row>
    <row r="139" spans="1:17">
      <c r="H139" s="34"/>
    </row>
    <row r="140" spans="1:17" ht="15.75">
      <c r="D140" s="30" t="s">
        <v>712</v>
      </c>
      <c r="E140" s="231"/>
      <c r="F140" s="31"/>
      <c r="G140" s="31"/>
      <c r="H140" s="31"/>
      <c r="I140" s="32"/>
    </row>
    <row r="141" spans="1:17" ht="15.75">
      <c r="D141" s="33" t="s">
        <v>711</v>
      </c>
      <c r="E141" s="232"/>
      <c r="F141" s="34"/>
      <c r="G141" s="34"/>
      <c r="H141" s="34"/>
      <c r="I141" s="35"/>
    </row>
    <row r="142" spans="1:17" ht="15.75">
      <c r="D142" s="33"/>
      <c r="E142" s="232"/>
      <c r="F142" s="34"/>
      <c r="G142" s="34"/>
      <c r="H142" s="34"/>
      <c r="I142" s="35"/>
    </row>
    <row r="143" spans="1:17" ht="15.75">
      <c r="D143" s="36" t="s">
        <v>713</v>
      </c>
      <c r="E143" s="233"/>
      <c r="F143" s="34"/>
      <c r="G143" s="34"/>
      <c r="H143" s="34"/>
      <c r="I143" s="35"/>
    </row>
    <row r="144" spans="1:17">
      <c r="D144" s="39" t="s">
        <v>715</v>
      </c>
      <c r="E144" s="34"/>
      <c r="F144" s="34"/>
      <c r="G144" s="34"/>
      <c r="H144" s="326">
        <f>ROUND('Schedule 9'!H144*(1+'2007 Stlgt Rates'!$C$3),4)*12</f>
        <v>108.48960000000001</v>
      </c>
      <c r="I144" s="35"/>
    </row>
    <row r="145" spans="4:9">
      <c r="D145" s="39" t="s">
        <v>82</v>
      </c>
      <c r="E145" s="34"/>
      <c r="F145" s="34"/>
      <c r="G145" s="34"/>
      <c r="H145" s="327"/>
      <c r="I145" s="35"/>
    </row>
    <row r="146" spans="4:9" ht="30" customHeight="1">
      <c r="D146" s="373" t="s">
        <v>716</v>
      </c>
      <c r="E146" s="375"/>
      <c r="F146" s="56">
        <f>200*12</f>
        <v>2400</v>
      </c>
      <c r="G146" s="38">
        <f>ROUND('Schedule 9'!G146*(1+'2007 Stlgt Rates'!$C$3),4)</f>
        <v>0.1028</v>
      </c>
      <c r="H146" s="327">
        <f>ROUND(+F146*G146,4)</f>
        <v>246.72</v>
      </c>
      <c r="I146" s="35"/>
    </row>
    <row r="147" spans="4:9" ht="30" customHeight="1">
      <c r="D147" s="373" t="s">
        <v>717</v>
      </c>
      <c r="E147" s="374"/>
      <c r="F147" s="56">
        <f>4000-F146</f>
        <v>1600</v>
      </c>
      <c r="G147" s="38">
        <f>ROUND('Schedule 9'!G147*(1+'2007 Stlgt Rates'!$C$3),4)</f>
        <v>6.7900000000000002E-2</v>
      </c>
      <c r="H147" s="328">
        <f>ROUND(+F147*G147,4)</f>
        <v>108.64</v>
      </c>
      <c r="I147" s="35"/>
    </row>
    <row r="148" spans="4:9">
      <c r="D148" s="39"/>
      <c r="E148" s="34"/>
      <c r="F148" s="56"/>
      <c r="G148" s="34"/>
      <c r="H148" s="326">
        <f>SUM(H144:H147)</f>
        <v>463.84960000000001</v>
      </c>
      <c r="I148" s="35"/>
    </row>
    <row r="149" spans="4:9">
      <c r="D149" s="39"/>
      <c r="E149" s="34"/>
      <c r="F149" s="56"/>
      <c r="G149" s="34"/>
      <c r="H149" s="326"/>
      <c r="I149" s="35"/>
    </row>
    <row r="150" spans="4:9" ht="15.75">
      <c r="D150" s="39" t="s">
        <v>83</v>
      </c>
      <c r="E150" s="34"/>
      <c r="F150" s="56">
        <f>SUM(F146:F147)</f>
        <v>4000</v>
      </c>
      <c r="G150" s="34"/>
      <c r="H150" s="336">
        <f>ROUND(+H148/F150,7)</f>
        <v>0.11596239999999999</v>
      </c>
      <c r="I150" s="35"/>
    </row>
    <row r="151" spans="4:9">
      <c r="D151" s="39"/>
      <c r="E151" s="34"/>
      <c r="F151" s="56"/>
      <c r="G151" s="34"/>
      <c r="H151" s="34"/>
      <c r="I151" s="35"/>
    </row>
    <row r="152" spans="4:9" ht="15.75">
      <c r="D152" s="36" t="s">
        <v>714</v>
      </c>
      <c r="E152" s="233"/>
      <c r="F152" s="56"/>
      <c r="G152" s="34"/>
      <c r="H152" s="34"/>
      <c r="I152" s="35"/>
    </row>
    <row r="153" spans="4:9">
      <c r="D153" s="39" t="s">
        <v>715</v>
      </c>
      <c r="E153" s="34"/>
      <c r="F153" s="56"/>
      <c r="G153" s="34"/>
      <c r="H153" s="326">
        <f>+H144</f>
        <v>108.48960000000001</v>
      </c>
      <c r="I153" s="35"/>
    </row>
    <row r="154" spans="4:9">
      <c r="D154" s="39" t="s">
        <v>82</v>
      </c>
      <c r="E154" s="34"/>
      <c r="F154" s="56"/>
      <c r="G154" s="34"/>
      <c r="H154" s="327"/>
      <c r="I154" s="35"/>
    </row>
    <row r="155" spans="4:9" ht="30" customHeight="1">
      <c r="D155" s="373" t="s">
        <v>716</v>
      </c>
      <c r="E155" s="374"/>
      <c r="F155" s="56">
        <f>200*12</f>
        <v>2400</v>
      </c>
      <c r="G155" s="38">
        <f>G146</f>
        <v>0.1028</v>
      </c>
      <c r="H155" s="327">
        <f>ROUND(+F155*G155,4)</f>
        <v>246.72</v>
      </c>
      <c r="I155" s="35"/>
    </row>
    <row r="156" spans="4:9" ht="30.75" customHeight="1">
      <c r="D156" s="373" t="s">
        <v>717</v>
      </c>
      <c r="E156" s="374"/>
      <c r="F156" s="56">
        <f>8760-F155</f>
        <v>6360</v>
      </c>
      <c r="G156" s="38">
        <f>G147</f>
        <v>6.7900000000000002E-2</v>
      </c>
      <c r="H156" s="328">
        <f>ROUND(+F156*G156,4)</f>
        <v>431.84399999999999</v>
      </c>
      <c r="I156" s="35"/>
    </row>
    <row r="157" spans="4:9">
      <c r="D157" s="39"/>
      <c r="E157" s="34"/>
      <c r="F157" s="56"/>
      <c r="G157" s="34"/>
      <c r="H157" s="326">
        <f>SUM(H153:H156)</f>
        <v>787.05359999999996</v>
      </c>
      <c r="I157" s="35"/>
    </row>
    <row r="158" spans="4:9">
      <c r="D158" s="39"/>
      <c r="E158" s="34"/>
      <c r="F158" s="56"/>
      <c r="G158" s="34"/>
      <c r="H158" s="326"/>
      <c r="I158" s="35"/>
    </row>
    <row r="159" spans="4:9" ht="15.75">
      <c r="D159" s="187" t="s">
        <v>83</v>
      </c>
      <c r="E159" s="41"/>
      <c r="F159" s="57">
        <f>SUM(F155:F156)</f>
        <v>8760</v>
      </c>
      <c r="G159" s="41"/>
      <c r="H159" s="337">
        <f>ROUND(+H157/F159,7)</f>
        <v>8.9846300000000004E-2</v>
      </c>
      <c r="I159" s="331"/>
    </row>
  </sheetData>
  <mergeCells count="4">
    <mergeCell ref="D146:E146"/>
    <mergeCell ref="D147:E147"/>
    <mergeCell ref="D155:E155"/>
    <mergeCell ref="D156:E156"/>
  </mergeCells>
  <phoneticPr fontId="0" type="noConversion"/>
  <printOptions horizontalCentered="1"/>
  <pageMargins left="0.5" right="0.5" top="0.5" bottom="0.65277777777777801" header="0" footer="0"/>
  <pageSetup scale="64" fitToHeight="4" orientation="landscape" r:id="rId1"/>
  <headerFooter alignWithMargins="0">
    <oddFooter>&amp;LDate : &amp;D</oddFooter>
  </headerFooter>
  <rowBreaks count="3" manualBreakCount="3">
    <brk id="54" max="11" man="1"/>
    <brk id="94" max="11" man="1"/>
    <brk id="127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opLeftCell="A19" workbookViewId="0">
      <selection activeCell="I31" sqref="I31"/>
    </sheetView>
  </sheetViews>
  <sheetFormatPr defaultRowHeight="15"/>
  <cols>
    <col min="1" max="1" width="3" customWidth="1"/>
    <col min="2" max="2" width="19.77734375" customWidth="1"/>
    <col min="3" max="9" width="9.88671875" customWidth="1"/>
    <col min="10" max="10" width="18" customWidth="1"/>
  </cols>
  <sheetData>
    <row r="1" spans="1:10" ht="18">
      <c r="A1" s="65" t="s">
        <v>439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thickBot="1">
      <c r="A2" s="67"/>
      <c r="B2" s="66"/>
      <c r="C2" s="66"/>
      <c r="D2" s="66"/>
      <c r="E2" s="66"/>
      <c r="F2" s="66"/>
      <c r="G2" s="66"/>
      <c r="H2" s="66"/>
      <c r="I2" s="66"/>
      <c r="J2" s="66"/>
    </row>
    <row r="3" spans="1:10" ht="16.5" thickBot="1">
      <c r="A3" s="68" t="s">
        <v>440</v>
      </c>
      <c r="B3" s="105"/>
      <c r="C3" s="69">
        <v>6.2E-2</v>
      </c>
    </row>
    <row r="4" spans="1:10" ht="18">
      <c r="A4" s="70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5.75">
      <c r="A5" s="71" t="s">
        <v>441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5.75">
      <c r="A6" s="71" t="s">
        <v>442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B8" s="105"/>
      <c r="C8" s="105"/>
      <c r="D8" s="105"/>
      <c r="E8" s="105"/>
      <c r="F8" s="105"/>
      <c r="G8" s="105"/>
      <c r="H8" s="105"/>
      <c r="I8" s="105"/>
      <c r="J8" s="105"/>
    </row>
    <row r="9" spans="1:10">
      <c r="B9" s="105"/>
      <c r="C9" s="72" t="s">
        <v>443</v>
      </c>
      <c r="D9" s="72" t="s">
        <v>444</v>
      </c>
      <c r="E9" s="72"/>
      <c r="F9" s="72" t="s">
        <v>445</v>
      </c>
      <c r="G9" s="72"/>
      <c r="H9" s="72"/>
      <c r="I9" s="72"/>
    </row>
    <row r="10" spans="1:10">
      <c r="B10" s="73" t="s">
        <v>9</v>
      </c>
      <c r="C10" s="73" t="s">
        <v>34</v>
      </c>
      <c r="D10" s="73" t="s">
        <v>446</v>
      </c>
      <c r="E10" s="74" t="s">
        <v>447</v>
      </c>
      <c r="F10" s="73" t="s">
        <v>448</v>
      </c>
      <c r="G10" s="73" t="s">
        <v>87</v>
      </c>
      <c r="H10" s="73" t="s">
        <v>88</v>
      </c>
      <c r="I10" s="73" t="s">
        <v>50</v>
      </c>
    </row>
    <row r="12" spans="1:10">
      <c r="A12" s="75" t="s">
        <v>449</v>
      </c>
      <c r="B12" s="76" t="s">
        <v>450</v>
      </c>
      <c r="C12" s="76"/>
    </row>
    <row r="14" spans="1:10">
      <c r="B14" s="105" t="s">
        <v>451</v>
      </c>
      <c r="C14" s="106" t="s">
        <v>0</v>
      </c>
      <c r="D14" s="105"/>
      <c r="E14" s="105">
        <v>97</v>
      </c>
      <c r="F14" s="107">
        <f>+F24</f>
        <v>12.6</v>
      </c>
      <c r="G14" s="107">
        <f>+G24</f>
        <v>1.07</v>
      </c>
      <c r="H14" s="107">
        <v>3.51</v>
      </c>
      <c r="I14" s="107">
        <v>17.18</v>
      </c>
    </row>
    <row r="15" spans="1:10">
      <c r="B15" s="105" t="s">
        <v>452</v>
      </c>
      <c r="C15" s="106" t="s">
        <v>1</v>
      </c>
      <c r="D15" s="105"/>
      <c r="E15" s="105">
        <v>154</v>
      </c>
      <c r="F15" s="108">
        <f>+F27</f>
        <v>20</v>
      </c>
      <c r="G15" s="108">
        <f>+G27</f>
        <v>1.07</v>
      </c>
      <c r="H15" s="108">
        <v>3.84</v>
      </c>
      <c r="I15" s="108">
        <v>24.91</v>
      </c>
    </row>
    <row r="16" spans="1:10">
      <c r="B16" s="105"/>
      <c r="C16" s="109"/>
      <c r="D16" s="105"/>
      <c r="E16" s="105"/>
      <c r="F16" s="108"/>
      <c r="G16" s="108"/>
      <c r="H16" s="108"/>
      <c r="I16" s="108"/>
    </row>
    <row r="17" spans="1:10">
      <c r="A17" s="75" t="s">
        <v>453</v>
      </c>
      <c r="B17" s="110" t="s">
        <v>454</v>
      </c>
      <c r="C17" s="111"/>
      <c r="D17" s="105"/>
      <c r="E17" s="105"/>
      <c r="F17" s="108"/>
      <c r="G17" s="108"/>
      <c r="H17" s="108"/>
      <c r="I17" s="108"/>
    </row>
    <row r="18" spans="1:10">
      <c r="B18" s="105"/>
      <c r="C18" s="109"/>
      <c r="D18" s="105"/>
      <c r="E18" s="105"/>
      <c r="F18" s="108"/>
      <c r="G18" s="108"/>
      <c r="H18" s="108"/>
      <c r="I18" s="108"/>
    </row>
    <row r="19" spans="1:10">
      <c r="B19" s="105" t="s">
        <v>455</v>
      </c>
      <c r="C19" s="109">
        <v>100</v>
      </c>
      <c r="D19" s="105"/>
      <c r="E19" s="105">
        <v>43</v>
      </c>
      <c r="F19" s="108">
        <v>5.6</v>
      </c>
      <c r="G19" s="108">
        <v>1.07</v>
      </c>
      <c r="H19" s="108">
        <v>3.13</v>
      </c>
      <c r="I19" s="108">
        <v>9.8000000000000007</v>
      </c>
    </row>
    <row r="20" spans="1:10">
      <c r="B20" s="105" t="s">
        <v>456</v>
      </c>
      <c r="C20" s="109">
        <v>101</v>
      </c>
      <c r="D20" s="105"/>
      <c r="E20" s="105">
        <v>52</v>
      </c>
      <c r="F20" s="108">
        <v>6.75</v>
      </c>
      <c r="G20" s="108">
        <v>1.42</v>
      </c>
      <c r="H20" s="108">
        <v>3.16</v>
      </c>
      <c r="I20" s="108">
        <v>11.33</v>
      </c>
    </row>
    <row r="21" spans="1:10">
      <c r="B21" s="105" t="s">
        <v>456</v>
      </c>
      <c r="C21" s="109">
        <v>201</v>
      </c>
      <c r="D21" s="105"/>
      <c r="E21" s="105">
        <v>52</v>
      </c>
      <c r="F21" s="108">
        <v>6.76</v>
      </c>
      <c r="G21" s="108">
        <v>1.42</v>
      </c>
      <c r="H21" s="108">
        <v>0</v>
      </c>
      <c r="I21" s="108">
        <v>8.18</v>
      </c>
      <c r="J21" s="79" t="s">
        <v>457</v>
      </c>
    </row>
    <row r="22" spans="1:10">
      <c r="B22" s="105" t="s">
        <v>458</v>
      </c>
      <c r="C22" s="109">
        <v>102</v>
      </c>
      <c r="D22" s="105"/>
      <c r="E22" s="105">
        <v>69</v>
      </c>
      <c r="F22" s="108">
        <v>8.98</v>
      </c>
      <c r="G22" s="108">
        <v>1.07</v>
      </c>
      <c r="H22" s="108">
        <v>3.3</v>
      </c>
      <c r="I22" s="108">
        <v>13.35</v>
      </c>
      <c r="J22" s="79"/>
    </row>
    <row r="23" spans="1:10">
      <c r="B23" s="105" t="s">
        <v>458</v>
      </c>
      <c r="C23" s="109">
        <v>202</v>
      </c>
      <c r="D23" s="105"/>
      <c r="E23" s="105">
        <v>69</v>
      </c>
      <c r="F23" s="108">
        <v>8.99</v>
      </c>
      <c r="G23" s="108">
        <v>1.07</v>
      </c>
      <c r="H23" s="108">
        <v>0</v>
      </c>
      <c r="I23" s="108">
        <v>10.06</v>
      </c>
      <c r="J23" s="79" t="s">
        <v>457</v>
      </c>
    </row>
    <row r="24" spans="1:10">
      <c r="B24" s="105" t="s">
        <v>459</v>
      </c>
      <c r="C24" s="109">
        <v>103</v>
      </c>
      <c r="D24" s="105"/>
      <c r="E24" s="105">
        <v>97</v>
      </c>
      <c r="F24" s="108">
        <v>12.6</v>
      </c>
      <c r="G24" s="108">
        <v>1.07</v>
      </c>
      <c r="H24" s="108">
        <v>3.38</v>
      </c>
      <c r="I24" s="108">
        <v>17.05</v>
      </c>
      <c r="J24" s="79"/>
    </row>
    <row r="25" spans="1:10">
      <c r="B25" s="105" t="s">
        <v>459</v>
      </c>
      <c r="C25" s="109">
        <v>107</v>
      </c>
      <c r="D25" s="105"/>
      <c r="E25" s="105">
        <v>212</v>
      </c>
      <c r="F25" s="108">
        <v>20.54</v>
      </c>
      <c r="G25" s="108">
        <v>2.15</v>
      </c>
      <c r="H25" s="108">
        <v>3.36</v>
      </c>
      <c r="I25" s="108">
        <v>26.05</v>
      </c>
      <c r="J25" s="79" t="s">
        <v>460</v>
      </c>
    </row>
    <row r="26" spans="1:10">
      <c r="B26" s="105" t="s">
        <v>459</v>
      </c>
      <c r="C26" s="109">
        <v>203</v>
      </c>
      <c r="D26" s="105"/>
      <c r="E26" s="105">
        <v>97</v>
      </c>
      <c r="F26" s="108">
        <v>12.6</v>
      </c>
      <c r="G26" s="108">
        <v>1.07</v>
      </c>
      <c r="H26" s="108">
        <v>0</v>
      </c>
      <c r="I26" s="108">
        <v>13.67</v>
      </c>
      <c r="J26" s="79" t="s">
        <v>457</v>
      </c>
    </row>
    <row r="27" spans="1:10">
      <c r="B27" s="105" t="s">
        <v>461</v>
      </c>
      <c r="C27" s="109">
        <v>104</v>
      </c>
      <c r="D27" s="105"/>
      <c r="E27" s="105">
        <v>154</v>
      </c>
      <c r="F27" s="108">
        <v>20</v>
      </c>
      <c r="G27" s="108">
        <v>1.07</v>
      </c>
      <c r="H27" s="108">
        <v>3.8</v>
      </c>
      <c r="I27" s="108">
        <v>24.87</v>
      </c>
      <c r="J27" s="79"/>
    </row>
    <row r="28" spans="1:10">
      <c r="B28" s="105" t="s">
        <v>461</v>
      </c>
      <c r="C28" s="109">
        <v>204</v>
      </c>
      <c r="D28" s="105"/>
      <c r="E28" s="105">
        <v>154</v>
      </c>
      <c r="F28" s="108">
        <v>20</v>
      </c>
      <c r="G28" s="108">
        <v>1.07</v>
      </c>
      <c r="H28" s="108">
        <v>0.02</v>
      </c>
      <c r="I28" s="108">
        <v>21.09</v>
      </c>
      <c r="J28" s="79" t="s">
        <v>457</v>
      </c>
    </row>
    <row r="29" spans="1:10">
      <c r="B29" s="105" t="s">
        <v>462</v>
      </c>
      <c r="C29" s="109">
        <v>105</v>
      </c>
      <c r="D29" s="105"/>
      <c r="E29" s="105">
        <v>260</v>
      </c>
      <c r="F29" s="108">
        <v>33.78</v>
      </c>
      <c r="G29" s="108">
        <v>1.07</v>
      </c>
      <c r="H29" s="108">
        <v>11.75</v>
      </c>
      <c r="I29" s="108">
        <v>46.6</v>
      </c>
      <c r="J29" s="79"/>
    </row>
    <row r="30" spans="1:10">
      <c r="B30" s="105" t="s">
        <v>462</v>
      </c>
      <c r="C30" s="109">
        <v>205</v>
      </c>
      <c r="D30" s="105"/>
      <c r="E30" s="105">
        <v>260</v>
      </c>
      <c r="F30" s="108">
        <v>33.78</v>
      </c>
      <c r="G30" s="108">
        <v>1.07</v>
      </c>
      <c r="H30" s="108">
        <v>0</v>
      </c>
      <c r="I30" s="108">
        <v>34.85</v>
      </c>
      <c r="J30" s="79" t="s">
        <v>457</v>
      </c>
    </row>
    <row r="31" spans="1:10">
      <c r="B31" s="105" t="s">
        <v>463</v>
      </c>
      <c r="C31" s="109">
        <v>106</v>
      </c>
      <c r="D31" s="105"/>
      <c r="E31" s="105">
        <v>363</v>
      </c>
      <c r="F31" s="108">
        <v>47.15</v>
      </c>
      <c r="G31" s="108">
        <v>1.07</v>
      </c>
      <c r="H31" s="108">
        <v>11.91</v>
      </c>
      <c r="I31" s="108">
        <v>60.13</v>
      </c>
      <c r="J31" s="79"/>
    </row>
    <row r="32" spans="1:10">
      <c r="B32" s="105" t="s">
        <v>463</v>
      </c>
      <c r="C32" s="109">
        <v>206</v>
      </c>
      <c r="D32" s="105"/>
      <c r="E32" s="105">
        <v>363</v>
      </c>
      <c r="F32" s="108">
        <v>47.16</v>
      </c>
      <c r="G32" s="108">
        <v>1.07</v>
      </c>
      <c r="H32" s="108">
        <v>0</v>
      </c>
      <c r="I32" s="108">
        <v>48.23</v>
      </c>
      <c r="J32" s="79" t="s">
        <v>457</v>
      </c>
    </row>
    <row r="33" spans="1:10">
      <c r="C33" s="78"/>
      <c r="E33" s="77"/>
      <c r="F33" s="77"/>
      <c r="G33" s="77"/>
      <c r="H33" s="77"/>
      <c r="I33" s="77"/>
      <c r="J33" s="79"/>
    </row>
    <row r="34" spans="1:10">
      <c r="A34" s="75" t="s">
        <v>464</v>
      </c>
      <c r="B34" s="76" t="s">
        <v>465</v>
      </c>
      <c r="C34" s="72"/>
      <c r="E34" s="77"/>
      <c r="F34" s="77"/>
      <c r="G34" s="77"/>
      <c r="H34" s="77"/>
      <c r="I34" s="77"/>
      <c r="J34" s="79"/>
    </row>
    <row r="35" spans="1:10">
      <c r="C35" s="78"/>
      <c r="E35" s="77"/>
      <c r="F35" s="77"/>
      <c r="G35" s="77"/>
      <c r="H35" s="77"/>
      <c r="I35" s="77"/>
      <c r="J35" s="79"/>
    </row>
    <row r="36" spans="1:10">
      <c r="B36" s="80" t="s">
        <v>466</v>
      </c>
      <c r="C36" s="73"/>
      <c r="E36" s="77"/>
      <c r="F36" s="77"/>
      <c r="G36" s="77"/>
      <c r="H36" s="77"/>
      <c r="I36" s="77"/>
      <c r="J36" s="79"/>
    </row>
    <row r="37" spans="1:10">
      <c r="C37" s="78"/>
      <c r="E37" s="77"/>
      <c r="F37" s="77"/>
      <c r="G37" s="77"/>
      <c r="H37" s="77"/>
      <c r="I37" s="77"/>
      <c r="J37" s="79"/>
    </row>
    <row r="38" spans="1:10">
      <c r="B38" s="105" t="s">
        <v>467</v>
      </c>
      <c r="C38" s="109">
        <v>110</v>
      </c>
      <c r="D38" s="109">
        <v>2</v>
      </c>
      <c r="E38" s="113">
        <v>30</v>
      </c>
      <c r="F38" s="108">
        <v>3.91</v>
      </c>
      <c r="G38" s="108">
        <v>1.71</v>
      </c>
      <c r="H38" s="108">
        <v>3.77</v>
      </c>
      <c r="I38" s="108">
        <v>9.39</v>
      </c>
      <c r="J38" s="79"/>
    </row>
    <row r="39" spans="1:10">
      <c r="B39" s="105" t="s">
        <v>468</v>
      </c>
      <c r="C39" s="109">
        <v>217</v>
      </c>
      <c r="D39" s="109">
        <v>1</v>
      </c>
      <c r="E39" s="113">
        <v>49</v>
      </c>
      <c r="F39" s="108">
        <v>6.37</v>
      </c>
      <c r="G39" s="108">
        <v>1.71</v>
      </c>
      <c r="H39" s="108">
        <v>0</v>
      </c>
      <c r="I39" s="108">
        <v>8.08</v>
      </c>
      <c r="J39" s="79" t="s">
        <v>457</v>
      </c>
    </row>
    <row r="40" spans="1:10">
      <c r="B40" s="105" t="s">
        <v>468</v>
      </c>
      <c r="C40" s="109">
        <v>111</v>
      </c>
      <c r="D40" s="109">
        <v>2</v>
      </c>
      <c r="E40" s="113">
        <v>85</v>
      </c>
      <c r="F40" s="108">
        <v>11.03</v>
      </c>
      <c r="G40" s="108">
        <v>1.71</v>
      </c>
      <c r="H40" s="108">
        <v>4.33</v>
      </c>
      <c r="I40" s="108">
        <v>17.07</v>
      </c>
      <c r="J40" s="79"/>
    </row>
    <row r="41" spans="1:10">
      <c r="B41" s="105" t="s">
        <v>468</v>
      </c>
      <c r="C41" s="109">
        <v>218</v>
      </c>
      <c r="D41" s="109">
        <v>2</v>
      </c>
      <c r="E41" s="113">
        <v>85</v>
      </c>
      <c r="F41" s="108">
        <v>11.04</v>
      </c>
      <c r="G41" s="108">
        <v>1.71</v>
      </c>
      <c r="H41" s="108">
        <v>0</v>
      </c>
      <c r="I41" s="108">
        <v>12.75</v>
      </c>
      <c r="J41" s="79" t="s">
        <v>457</v>
      </c>
    </row>
    <row r="42" spans="1:10">
      <c r="B42" s="105" t="s">
        <v>468</v>
      </c>
      <c r="C42" s="109">
        <v>116</v>
      </c>
      <c r="D42" s="109">
        <v>4</v>
      </c>
      <c r="E42" s="113">
        <v>166</v>
      </c>
      <c r="F42" s="108">
        <v>21.59</v>
      </c>
      <c r="G42" s="108">
        <v>1.71</v>
      </c>
      <c r="H42" s="108">
        <v>5.49</v>
      </c>
      <c r="I42" s="108">
        <v>28.79</v>
      </c>
      <c r="J42" s="79"/>
    </row>
    <row r="43" spans="1:10">
      <c r="B43" s="105" t="s">
        <v>468</v>
      </c>
      <c r="C43" s="109">
        <v>216</v>
      </c>
      <c r="D43" s="109">
        <v>4</v>
      </c>
      <c r="E43" s="113">
        <v>166</v>
      </c>
      <c r="F43" s="108">
        <v>21.59</v>
      </c>
      <c r="G43" s="108">
        <v>1.71</v>
      </c>
      <c r="H43" s="108">
        <v>0</v>
      </c>
      <c r="I43" s="108">
        <v>23.3</v>
      </c>
      <c r="J43" s="79"/>
    </row>
    <row r="44" spans="1:10">
      <c r="B44" s="105" t="s">
        <v>469</v>
      </c>
      <c r="C44" s="109">
        <v>115</v>
      </c>
      <c r="D44" s="109">
        <v>1</v>
      </c>
      <c r="E44" s="113">
        <v>60</v>
      </c>
      <c r="F44" s="108">
        <v>7.81</v>
      </c>
      <c r="G44" s="108">
        <v>1.71</v>
      </c>
      <c r="H44" s="108">
        <v>4.05</v>
      </c>
      <c r="I44" s="108">
        <v>13.57</v>
      </c>
      <c r="J44" s="79"/>
    </row>
    <row r="45" spans="1:10">
      <c r="B45" s="105" t="s">
        <v>469</v>
      </c>
      <c r="C45" s="109">
        <v>215</v>
      </c>
      <c r="D45" s="109">
        <v>1</v>
      </c>
      <c r="E45" s="113">
        <v>60</v>
      </c>
      <c r="F45" s="108">
        <v>7.82</v>
      </c>
      <c r="G45" s="108">
        <v>1.71</v>
      </c>
      <c r="H45" s="108">
        <v>0</v>
      </c>
      <c r="I45" s="108">
        <v>9.5299999999999994</v>
      </c>
      <c r="J45" s="79" t="s">
        <v>457</v>
      </c>
    </row>
    <row r="46" spans="1:10">
      <c r="B46" s="105" t="s">
        <v>469</v>
      </c>
      <c r="C46" s="109">
        <v>112</v>
      </c>
      <c r="D46" s="109">
        <v>2</v>
      </c>
      <c r="E46" s="113">
        <v>116</v>
      </c>
      <c r="F46" s="107">
        <v>15.08</v>
      </c>
      <c r="G46" s="107">
        <v>1.71</v>
      </c>
      <c r="H46" s="107">
        <v>5.29</v>
      </c>
      <c r="I46" s="107">
        <v>22.08</v>
      </c>
      <c r="J46" s="79"/>
    </row>
    <row r="47" spans="1:10">
      <c r="B47" s="105" t="s">
        <v>469</v>
      </c>
      <c r="C47" s="109">
        <v>113</v>
      </c>
      <c r="D47" s="109">
        <v>4</v>
      </c>
      <c r="E47" s="113">
        <v>222</v>
      </c>
      <c r="F47" s="107">
        <v>28.82</v>
      </c>
      <c r="G47" s="107">
        <v>1.71</v>
      </c>
      <c r="H47" s="107">
        <v>7.77</v>
      </c>
      <c r="I47" s="107">
        <v>38.299999999999997</v>
      </c>
      <c r="J47" s="79"/>
    </row>
    <row r="48" spans="1:10">
      <c r="B48" s="105" t="s">
        <v>469</v>
      </c>
      <c r="C48" s="109">
        <v>213</v>
      </c>
      <c r="D48" s="109">
        <v>4</v>
      </c>
      <c r="E48" s="113">
        <v>222</v>
      </c>
      <c r="F48" s="108">
        <v>28.82</v>
      </c>
      <c r="G48" s="108">
        <v>1.71</v>
      </c>
      <c r="H48" s="108">
        <v>0</v>
      </c>
      <c r="I48" s="108">
        <v>30.53</v>
      </c>
      <c r="J48" s="79" t="s">
        <v>457</v>
      </c>
    </row>
    <row r="49" spans="1:10">
      <c r="B49" s="105" t="s">
        <v>470</v>
      </c>
      <c r="C49" s="109">
        <v>114</v>
      </c>
      <c r="D49" s="109">
        <v>1</v>
      </c>
      <c r="E49" s="113">
        <v>47</v>
      </c>
      <c r="F49" s="108">
        <v>6.1</v>
      </c>
      <c r="G49" s="108">
        <v>1.71</v>
      </c>
      <c r="H49" s="108">
        <v>4.92</v>
      </c>
      <c r="I49" s="108">
        <v>12.73</v>
      </c>
      <c r="J49" s="79"/>
    </row>
    <row r="50" spans="1:10">
      <c r="B50" s="105" t="s">
        <v>470</v>
      </c>
      <c r="C50" s="109">
        <v>214</v>
      </c>
      <c r="D50" s="109">
        <v>1</v>
      </c>
      <c r="E50" s="113">
        <v>47</v>
      </c>
      <c r="F50" s="108">
        <v>6.1</v>
      </c>
      <c r="G50" s="108">
        <v>1.71</v>
      </c>
      <c r="H50" s="108">
        <v>0</v>
      </c>
      <c r="I50" s="108">
        <v>7.81</v>
      </c>
      <c r="J50" s="79" t="s">
        <v>457</v>
      </c>
    </row>
    <row r="51" spans="1:10">
      <c r="B51" s="105"/>
      <c r="C51" s="109"/>
      <c r="D51" s="105"/>
      <c r="E51" s="113"/>
      <c r="F51" s="108"/>
      <c r="G51" s="108"/>
      <c r="H51" s="108"/>
      <c r="I51" s="108"/>
      <c r="J51" s="79"/>
    </row>
    <row r="52" spans="1:10">
      <c r="A52" s="75" t="s">
        <v>471</v>
      </c>
      <c r="B52" s="110" t="s">
        <v>472</v>
      </c>
      <c r="C52" s="111"/>
      <c r="D52" s="105"/>
      <c r="E52" s="113"/>
      <c r="F52" s="108"/>
      <c r="G52" s="108"/>
      <c r="H52" s="108"/>
      <c r="I52" s="108"/>
      <c r="J52" s="79"/>
    </row>
    <row r="53" spans="1:10">
      <c r="B53" s="105"/>
      <c r="C53" s="109"/>
      <c r="D53" s="105"/>
      <c r="E53" s="113"/>
      <c r="F53" s="108"/>
      <c r="G53" s="108"/>
      <c r="H53" s="108"/>
      <c r="I53" s="108"/>
      <c r="J53" s="79"/>
    </row>
    <row r="54" spans="1:10">
      <c r="B54" s="114" t="s">
        <v>473</v>
      </c>
      <c r="C54" s="115"/>
      <c r="D54" s="105"/>
      <c r="E54" s="113"/>
      <c r="F54" s="108"/>
      <c r="G54" s="108"/>
      <c r="H54" s="108"/>
      <c r="I54" s="108"/>
      <c r="J54" s="79"/>
    </row>
    <row r="55" spans="1:10">
      <c r="B55" s="105"/>
      <c r="C55" s="109"/>
      <c r="D55" s="105"/>
      <c r="E55" s="113"/>
      <c r="F55" s="108"/>
      <c r="G55" s="108"/>
      <c r="H55" s="108"/>
      <c r="I55" s="108"/>
      <c r="J55" s="79"/>
    </row>
    <row r="56" spans="1:10">
      <c r="B56" s="116" t="s">
        <v>466</v>
      </c>
      <c r="C56" s="117"/>
      <c r="D56" s="105"/>
      <c r="E56" s="113"/>
      <c r="F56" s="108"/>
      <c r="G56" s="108"/>
      <c r="H56" s="108"/>
      <c r="I56" s="108"/>
      <c r="J56" s="79"/>
    </row>
    <row r="57" spans="1:10">
      <c r="B57" s="105"/>
      <c r="C57" s="109"/>
      <c r="D57" s="105"/>
      <c r="E57" s="113"/>
      <c r="F57" s="108"/>
      <c r="G57" s="108"/>
      <c r="H57" s="108"/>
      <c r="I57" s="108"/>
      <c r="J57" s="79"/>
    </row>
    <row r="58" spans="1:10">
      <c r="B58" s="105" t="s">
        <v>467</v>
      </c>
      <c r="C58" s="109">
        <v>118</v>
      </c>
      <c r="D58" s="109">
        <v>2</v>
      </c>
      <c r="E58" s="113">
        <v>66</v>
      </c>
      <c r="F58" s="108">
        <v>6.41</v>
      </c>
      <c r="G58" s="108">
        <v>0</v>
      </c>
      <c r="H58" s="108">
        <v>0</v>
      </c>
      <c r="I58" s="108">
        <v>6.41</v>
      </c>
      <c r="J58" s="79"/>
    </row>
    <row r="59" spans="1:10">
      <c r="B59" s="105" t="s">
        <v>468</v>
      </c>
      <c r="C59" s="109">
        <v>119</v>
      </c>
      <c r="D59" s="109">
        <v>4</v>
      </c>
      <c r="E59" s="113">
        <v>364</v>
      </c>
      <c r="F59" s="108">
        <v>35.26</v>
      </c>
      <c r="G59" s="108">
        <v>0</v>
      </c>
      <c r="H59" s="108">
        <v>0</v>
      </c>
      <c r="I59" s="108">
        <v>35.26</v>
      </c>
      <c r="J59" s="79"/>
    </row>
    <row r="60" spans="1:10">
      <c r="B60" s="105" t="s">
        <v>469</v>
      </c>
      <c r="C60" s="109">
        <v>117</v>
      </c>
      <c r="D60" s="109">
        <v>4</v>
      </c>
      <c r="E60" s="113">
        <v>486</v>
      </c>
      <c r="F60" s="108">
        <v>47.08</v>
      </c>
      <c r="G60" s="108">
        <v>0</v>
      </c>
      <c r="H60" s="108">
        <v>0</v>
      </c>
      <c r="I60" s="108">
        <v>47.08</v>
      </c>
      <c r="J60" s="79"/>
    </row>
    <row r="61" spans="1:10">
      <c r="B61" s="105" t="s">
        <v>470</v>
      </c>
      <c r="C61" s="109">
        <v>120</v>
      </c>
      <c r="D61" s="109">
        <v>2</v>
      </c>
      <c r="E61" s="113">
        <v>254</v>
      </c>
      <c r="F61" s="108">
        <v>24.61</v>
      </c>
      <c r="G61" s="108">
        <v>0</v>
      </c>
      <c r="H61" s="108">
        <v>0</v>
      </c>
      <c r="I61" s="108">
        <v>24.61</v>
      </c>
      <c r="J61" s="79"/>
    </row>
    <row r="62" spans="1:10">
      <c r="B62" s="105" t="s">
        <v>470</v>
      </c>
      <c r="C62" s="109">
        <v>150</v>
      </c>
      <c r="D62" s="109">
        <v>4</v>
      </c>
      <c r="E62" s="113">
        <v>613</v>
      </c>
      <c r="F62" s="108">
        <v>59.39</v>
      </c>
      <c r="G62" s="108">
        <v>0</v>
      </c>
      <c r="H62" s="108">
        <v>0</v>
      </c>
      <c r="I62" s="108">
        <v>59.39</v>
      </c>
      <c r="J62" s="79"/>
    </row>
    <row r="63" spans="1:10">
      <c r="B63" s="105"/>
      <c r="C63" s="109"/>
      <c r="D63" s="105"/>
      <c r="E63" s="113"/>
      <c r="F63" s="108"/>
      <c r="G63" s="108"/>
      <c r="H63" s="108"/>
      <c r="I63" s="108"/>
      <c r="J63" s="79"/>
    </row>
    <row r="64" spans="1:10">
      <c r="B64" s="114" t="s">
        <v>474</v>
      </c>
      <c r="C64" s="115"/>
      <c r="D64" s="105"/>
      <c r="E64" s="113"/>
      <c r="F64" s="108"/>
      <c r="G64" s="108"/>
      <c r="H64" s="108"/>
      <c r="I64" s="108"/>
      <c r="J64" s="79"/>
    </row>
    <row r="65" spans="1:10">
      <c r="B65" s="105"/>
      <c r="C65" s="109"/>
      <c r="D65" s="105"/>
      <c r="E65" s="113"/>
      <c r="F65" s="108"/>
      <c r="G65" s="108"/>
      <c r="H65" s="108"/>
      <c r="I65" s="108"/>
      <c r="J65" s="79"/>
    </row>
    <row r="66" spans="1:10">
      <c r="B66" s="116" t="s">
        <v>466</v>
      </c>
      <c r="C66" s="117"/>
      <c r="D66" s="105"/>
      <c r="E66" s="113"/>
      <c r="F66" s="108"/>
      <c r="G66" s="108"/>
      <c r="H66" s="108"/>
      <c r="I66" s="108"/>
      <c r="J66" s="79"/>
    </row>
    <row r="67" spans="1:10">
      <c r="B67" s="105"/>
      <c r="C67" s="109"/>
      <c r="D67" s="105"/>
      <c r="E67" s="113"/>
      <c r="F67" s="108"/>
      <c r="G67" s="108"/>
      <c r="H67" s="108"/>
      <c r="I67" s="108"/>
      <c r="J67" s="79"/>
    </row>
    <row r="68" spans="1:10">
      <c r="B68" s="105" t="s">
        <v>467</v>
      </c>
      <c r="C68" s="109">
        <v>310</v>
      </c>
      <c r="D68" s="109">
        <v>2</v>
      </c>
      <c r="E68" s="113">
        <v>30</v>
      </c>
      <c r="F68" s="108">
        <v>3.91</v>
      </c>
      <c r="G68" s="108">
        <v>0</v>
      </c>
      <c r="H68" s="108">
        <v>0</v>
      </c>
      <c r="I68" s="108">
        <v>3.91</v>
      </c>
      <c r="J68" s="79"/>
    </row>
    <row r="69" spans="1:10">
      <c r="B69" s="105" t="s">
        <v>468</v>
      </c>
      <c r="C69" s="109">
        <v>311</v>
      </c>
      <c r="D69" s="109">
        <v>4</v>
      </c>
      <c r="E69" s="113">
        <v>166</v>
      </c>
      <c r="F69" s="108">
        <v>21.59</v>
      </c>
      <c r="G69" s="108">
        <v>0</v>
      </c>
      <c r="H69" s="108">
        <v>0</v>
      </c>
      <c r="I69" s="108">
        <v>21.59</v>
      </c>
      <c r="J69" s="79"/>
    </row>
    <row r="70" spans="1:10">
      <c r="B70" s="105" t="s">
        <v>469</v>
      </c>
      <c r="C70" s="109">
        <v>313</v>
      </c>
      <c r="D70" s="109">
        <v>4</v>
      </c>
      <c r="E70" s="113">
        <v>222</v>
      </c>
      <c r="F70" s="108">
        <v>28.84</v>
      </c>
      <c r="G70" s="108">
        <v>0</v>
      </c>
      <c r="H70" s="108">
        <v>0</v>
      </c>
      <c r="I70" s="108">
        <v>28.84</v>
      </c>
      <c r="J70" s="79"/>
    </row>
    <row r="71" spans="1:10">
      <c r="B71" s="105" t="s">
        <v>469</v>
      </c>
      <c r="C71" s="109">
        <v>312</v>
      </c>
      <c r="D71" s="109">
        <v>2</v>
      </c>
      <c r="E71" s="113">
        <v>116</v>
      </c>
      <c r="F71" s="108">
        <v>15.08</v>
      </c>
      <c r="G71" s="108">
        <v>0</v>
      </c>
      <c r="H71" s="108">
        <v>0</v>
      </c>
      <c r="I71" s="108">
        <v>15.08</v>
      </c>
      <c r="J71" s="79"/>
    </row>
    <row r="72" spans="1:10">
      <c r="B72" s="105" t="s">
        <v>470</v>
      </c>
      <c r="C72" s="109">
        <v>350</v>
      </c>
      <c r="D72" s="109">
        <v>4</v>
      </c>
      <c r="E72" s="113">
        <v>280</v>
      </c>
      <c r="F72" s="107">
        <v>36.369999999999997</v>
      </c>
      <c r="G72" s="107">
        <v>0</v>
      </c>
      <c r="H72" s="107">
        <v>0</v>
      </c>
      <c r="I72" s="107">
        <v>36.369999999999997</v>
      </c>
      <c r="J72" s="79"/>
    </row>
    <row r="73" spans="1:10">
      <c r="B73" s="105"/>
      <c r="C73" s="109"/>
      <c r="D73" s="105"/>
      <c r="E73" s="113"/>
      <c r="F73" s="108"/>
      <c r="G73" s="108"/>
      <c r="H73" s="108"/>
      <c r="I73" s="108"/>
      <c r="J73" s="79"/>
    </row>
    <row r="74" spans="1:10">
      <c r="A74" s="75" t="s">
        <v>475</v>
      </c>
      <c r="B74" s="110" t="s">
        <v>476</v>
      </c>
      <c r="C74" s="111"/>
      <c r="D74" s="105"/>
      <c r="E74" s="113"/>
      <c r="F74" s="108"/>
      <c r="G74" s="108"/>
      <c r="H74" s="108"/>
      <c r="I74" s="108"/>
      <c r="J74" s="79"/>
    </row>
    <row r="75" spans="1:10">
      <c r="B75" s="105"/>
      <c r="C75" s="109"/>
      <c r="D75" s="105"/>
      <c r="E75" s="113"/>
      <c r="F75" s="108"/>
      <c r="G75" s="108"/>
      <c r="H75" s="108"/>
      <c r="I75" s="108"/>
      <c r="J75" s="79"/>
    </row>
    <row r="76" spans="1:10">
      <c r="B76" s="116" t="s">
        <v>477</v>
      </c>
      <c r="C76" s="117"/>
      <c r="D76" s="105"/>
      <c r="E76" s="113"/>
      <c r="F76" s="108"/>
      <c r="G76" s="108"/>
      <c r="H76" s="108"/>
      <c r="I76" s="108"/>
      <c r="J76" s="79"/>
    </row>
    <row r="77" spans="1:10">
      <c r="B77" s="105"/>
      <c r="C77" s="109"/>
      <c r="D77" s="105"/>
      <c r="E77" s="113"/>
      <c r="F77" s="108"/>
      <c r="G77" s="108"/>
      <c r="H77" s="108"/>
      <c r="I77" s="108"/>
      <c r="J77" s="79"/>
    </row>
    <row r="78" spans="1:10">
      <c r="B78" s="118" t="s">
        <v>478</v>
      </c>
      <c r="C78" s="106">
        <v>132</v>
      </c>
      <c r="D78" s="105"/>
      <c r="E78" s="113">
        <v>45</v>
      </c>
      <c r="F78" s="107">
        <v>5.83</v>
      </c>
      <c r="G78" s="107">
        <v>2.16</v>
      </c>
      <c r="H78" s="107">
        <v>5.09</v>
      </c>
      <c r="I78" s="107">
        <v>13.08</v>
      </c>
      <c r="J78" s="79"/>
    </row>
    <row r="79" spans="1:10">
      <c r="B79" s="118" t="s">
        <v>479</v>
      </c>
      <c r="C79" s="106">
        <v>130</v>
      </c>
      <c r="D79" s="105"/>
      <c r="E79" s="113">
        <v>60</v>
      </c>
      <c r="F79" s="108">
        <v>7.8</v>
      </c>
      <c r="G79" s="108">
        <v>2.16</v>
      </c>
      <c r="H79" s="108">
        <v>5.09</v>
      </c>
      <c r="I79" s="108">
        <v>15.05</v>
      </c>
      <c r="J79" s="79"/>
    </row>
    <row r="80" spans="1:10">
      <c r="B80" s="118" t="s">
        <v>480</v>
      </c>
      <c r="C80" s="106">
        <v>131</v>
      </c>
      <c r="D80" s="105"/>
      <c r="E80" s="113">
        <v>80</v>
      </c>
      <c r="F80" s="108">
        <v>10.4</v>
      </c>
      <c r="G80" s="108">
        <v>2.16</v>
      </c>
      <c r="H80" s="108">
        <v>5.09</v>
      </c>
      <c r="I80" s="108">
        <v>17.649999999999999</v>
      </c>
      <c r="J80" s="79"/>
    </row>
    <row r="81" spans="1:10">
      <c r="B81" s="118" t="s">
        <v>480</v>
      </c>
      <c r="C81" s="106">
        <v>231</v>
      </c>
      <c r="D81" s="105"/>
      <c r="E81" s="113">
        <v>80</v>
      </c>
      <c r="F81" s="108">
        <v>10.39</v>
      </c>
      <c r="G81" s="108">
        <v>2.16</v>
      </c>
      <c r="H81" s="108">
        <v>0</v>
      </c>
      <c r="I81" s="108">
        <v>12.55</v>
      </c>
      <c r="J81" s="79" t="s">
        <v>457</v>
      </c>
    </row>
    <row r="82" spans="1:10">
      <c r="B82" s="105"/>
      <c r="C82" s="109"/>
      <c r="D82" s="105"/>
      <c r="E82" s="113"/>
      <c r="F82" s="108"/>
      <c r="G82" s="108"/>
      <c r="H82" s="108"/>
      <c r="I82" s="108"/>
      <c r="J82" s="79"/>
    </row>
    <row r="83" spans="1:10">
      <c r="A83" s="75" t="s">
        <v>481</v>
      </c>
      <c r="B83" s="110" t="s">
        <v>482</v>
      </c>
      <c r="C83" s="111"/>
      <c r="D83" s="105"/>
      <c r="E83" s="113"/>
      <c r="F83" s="108"/>
      <c r="G83" s="108"/>
      <c r="H83" s="108"/>
      <c r="I83" s="108"/>
      <c r="J83" s="79"/>
    </row>
    <row r="84" spans="1:10">
      <c r="B84" s="105"/>
      <c r="C84" s="109"/>
      <c r="D84" s="105"/>
      <c r="E84" s="113"/>
      <c r="F84" s="108"/>
      <c r="G84" s="108"/>
      <c r="H84" s="108"/>
      <c r="I84" s="108"/>
      <c r="J84" s="79"/>
    </row>
    <row r="85" spans="1:10">
      <c r="B85" s="116" t="s">
        <v>477</v>
      </c>
      <c r="C85" s="117"/>
      <c r="D85" s="105"/>
      <c r="E85" s="113"/>
      <c r="F85" s="108"/>
      <c r="G85" s="108"/>
      <c r="H85" s="108"/>
      <c r="I85" s="108"/>
      <c r="J85" s="79"/>
    </row>
    <row r="86" spans="1:10">
      <c r="B86" s="105"/>
      <c r="C86" s="109"/>
      <c r="D86" s="105"/>
      <c r="E86" s="113"/>
      <c r="F86" s="108"/>
      <c r="G86" s="108"/>
      <c r="H86" s="108"/>
      <c r="I86" s="108"/>
      <c r="J86" s="79"/>
    </row>
    <row r="87" spans="1:10">
      <c r="B87" s="118" t="s">
        <v>483</v>
      </c>
      <c r="C87" s="106">
        <v>123</v>
      </c>
      <c r="D87" s="105"/>
      <c r="E87" s="113">
        <v>32</v>
      </c>
      <c r="F87" s="108">
        <v>4.17</v>
      </c>
      <c r="G87" s="108">
        <v>0.86</v>
      </c>
      <c r="H87" s="108">
        <v>5.09</v>
      </c>
      <c r="I87" s="108">
        <v>10.119999999999999</v>
      </c>
      <c r="J87" s="79"/>
    </row>
    <row r="88" spans="1:10">
      <c r="B88" s="118" t="s">
        <v>483</v>
      </c>
      <c r="C88" s="106">
        <v>222</v>
      </c>
      <c r="D88" s="105"/>
      <c r="E88" s="113">
        <v>32</v>
      </c>
      <c r="F88" s="108">
        <v>4.16</v>
      </c>
      <c r="G88" s="108">
        <v>0.86</v>
      </c>
      <c r="H88" s="108">
        <v>0</v>
      </c>
      <c r="I88" s="108">
        <v>5.0199999999999996</v>
      </c>
      <c r="J88" s="79" t="s">
        <v>457</v>
      </c>
    </row>
    <row r="89" spans="1:10">
      <c r="B89" s="118" t="s">
        <v>2</v>
      </c>
      <c r="C89" s="106">
        <v>124</v>
      </c>
      <c r="D89" s="105"/>
      <c r="E89" s="113">
        <v>45</v>
      </c>
      <c r="F89" s="108">
        <v>5.85</v>
      </c>
      <c r="G89" s="108">
        <v>0.86</v>
      </c>
      <c r="H89" s="108">
        <v>5.09</v>
      </c>
      <c r="I89" s="108">
        <v>11.8</v>
      </c>
      <c r="J89" s="79"/>
    </row>
    <row r="90" spans="1:10">
      <c r="B90" s="118" t="s">
        <v>2</v>
      </c>
      <c r="C90" s="106">
        <v>223</v>
      </c>
      <c r="D90" s="105"/>
      <c r="E90" s="113">
        <v>45</v>
      </c>
      <c r="F90" s="108">
        <v>5.84</v>
      </c>
      <c r="G90" s="108">
        <v>0.86</v>
      </c>
      <c r="H90" s="108">
        <v>0</v>
      </c>
      <c r="I90" s="108">
        <v>6.7</v>
      </c>
      <c r="J90" s="79" t="s">
        <v>457</v>
      </c>
    </row>
    <row r="91" spans="1:10">
      <c r="B91" s="118" t="s">
        <v>484</v>
      </c>
      <c r="C91" s="106">
        <v>125</v>
      </c>
      <c r="D91" s="105"/>
      <c r="E91" s="113">
        <v>65</v>
      </c>
      <c r="F91" s="108">
        <v>8.4600000000000009</v>
      </c>
      <c r="G91" s="108">
        <v>0.86</v>
      </c>
      <c r="H91" s="108">
        <v>5.09</v>
      </c>
      <c r="I91" s="108">
        <v>14.41</v>
      </c>
      <c r="J91" s="79"/>
    </row>
    <row r="92" spans="1:10">
      <c r="B92" s="118" t="s">
        <v>484</v>
      </c>
      <c r="C92" s="106">
        <v>224</v>
      </c>
      <c r="D92" s="105"/>
      <c r="E92" s="113">
        <v>65</v>
      </c>
      <c r="F92" s="108">
        <v>8.44</v>
      </c>
      <c r="G92" s="108">
        <v>0.86</v>
      </c>
      <c r="H92" s="108">
        <v>1.2212453270876722E-15</v>
      </c>
      <c r="I92" s="108">
        <v>9.3000000000000007</v>
      </c>
      <c r="J92" s="79" t="s">
        <v>457</v>
      </c>
    </row>
    <row r="93" spans="1:10">
      <c r="B93" s="118" t="s">
        <v>485</v>
      </c>
      <c r="C93" s="106">
        <v>121</v>
      </c>
      <c r="D93" s="105"/>
      <c r="E93" s="113">
        <v>100</v>
      </c>
      <c r="F93" s="108">
        <v>13</v>
      </c>
      <c r="G93" s="108">
        <v>0.86</v>
      </c>
      <c r="H93" s="108">
        <v>5.09</v>
      </c>
      <c r="I93" s="108">
        <v>18.95</v>
      </c>
      <c r="J93" s="79"/>
    </row>
    <row r="94" spans="1:10">
      <c r="B94" s="118" t="s">
        <v>485</v>
      </c>
      <c r="C94" s="106">
        <v>221</v>
      </c>
      <c r="D94" s="105"/>
      <c r="E94" s="113">
        <v>100</v>
      </c>
      <c r="F94" s="108">
        <v>13.01</v>
      </c>
      <c r="G94" s="108">
        <v>0.86</v>
      </c>
      <c r="H94" s="108">
        <v>0</v>
      </c>
      <c r="I94" s="108">
        <v>13.87</v>
      </c>
      <c r="J94" s="79" t="s">
        <v>457</v>
      </c>
    </row>
    <row r="95" spans="1:10">
      <c r="B95" s="118" t="s">
        <v>486</v>
      </c>
      <c r="C95" s="106">
        <v>122</v>
      </c>
      <c r="D95" s="105"/>
      <c r="E95" s="113">
        <v>150</v>
      </c>
      <c r="F95" s="107">
        <v>19.47</v>
      </c>
      <c r="G95" s="107">
        <v>0.86</v>
      </c>
      <c r="H95" s="107">
        <v>5.09</v>
      </c>
      <c r="I95" s="107">
        <v>25.42</v>
      </c>
      <c r="J95" s="79"/>
    </row>
    <row r="96" spans="1:10">
      <c r="B96" s="105"/>
      <c r="C96" s="109"/>
      <c r="D96" s="105"/>
      <c r="E96" s="113"/>
      <c r="F96" s="108"/>
      <c r="G96" s="108"/>
      <c r="H96" s="108"/>
      <c r="I96" s="108"/>
      <c r="J96" s="79"/>
    </row>
    <row r="97" spans="1:10">
      <c r="A97" s="75" t="s">
        <v>487</v>
      </c>
      <c r="B97" s="110" t="s">
        <v>488</v>
      </c>
      <c r="C97" s="111"/>
      <c r="D97" s="105"/>
      <c r="E97" s="113"/>
      <c r="F97" s="108"/>
      <c r="G97" s="108"/>
      <c r="H97" s="108"/>
      <c r="I97" s="108"/>
      <c r="J97" s="79"/>
    </row>
    <row r="98" spans="1:10">
      <c r="B98" s="105"/>
      <c r="C98" s="109"/>
      <c r="D98" s="105"/>
      <c r="E98" s="113"/>
      <c r="F98" s="108"/>
      <c r="G98" s="108"/>
      <c r="H98" s="108"/>
      <c r="I98" s="108"/>
      <c r="J98" s="79"/>
    </row>
    <row r="99" spans="1:10">
      <c r="B99" s="116" t="s">
        <v>477</v>
      </c>
      <c r="C99" s="117"/>
      <c r="D99" s="105"/>
      <c r="E99" s="113"/>
      <c r="F99" s="108"/>
      <c r="G99" s="108"/>
      <c r="H99" s="108"/>
      <c r="I99" s="108"/>
      <c r="J99" s="79"/>
    </row>
    <row r="100" spans="1:10">
      <c r="B100" s="105"/>
      <c r="C100" s="109"/>
      <c r="D100" s="105"/>
      <c r="E100" s="113"/>
      <c r="F100" s="108"/>
      <c r="G100" s="108"/>
      <c r="H100" s="108"/>
      <c r="I100" s="108"/>
      <c r="J100" s="79"/>
    </row>
    <row r="101" spans="1:10">
      <c r="B101" s="118" t="s">
        <v>489</v>
      </c>
      <c r="C101" s="106">
        <v>140</v>
      </c>
      <c r="D101" s="105"/>
      <c r="E101" s="113">
        <v>150</v>
      </c>
      <c r="F101" s="107">
        <v>19.5</v>
      </c>
      <c r="G101" s="107">
        <v>2.54</v>
      </c>
      <c r="H101" s="107">
        <v>9.09</v>
      </c>
      <c r="I101" s="107">
        <v>31.13</v>
      </c>
      <c r="J101" s="79"/>
    </row>
    <row r="102" spans="1:10">
      <c r="B102" s="118" t="s">
        <v>490</v>
      </c>
      <c r="C102" s="106">
        <v>141</v>
      </c>
      <c r="D102" s="105"/>
      <c r="E102" s="113">
        <v>360</v>
      </c>
      <c r="F102" s="108">
        <v>46.77</v>
      </c>
      <c r="G102" s="108">
        <v>3.75</v>
      </c>
      <c r="H102" s="108">
        <v>13.36</v>
      </c>
      <c r="I102" s="108">
        <v>63.88</v>
      </c>
      <c r="J102" s="79"/>
    </row>
    <row r="103" spans="1:10">
      <c r="B103" s="118" t="s">
        <v>491</v>
      </c>
      <c r="C103" s="106">
        <v>142</v>
      </c>
      <c r="D103" s="105"/>
      <c r="E103" s="113">
        <v>100</v>
      </c>
      <c r="F103" s="108">
        <v>9.93</v>
      </c>
      <c r="G103" s="108">
        <v>2.54</v>
      </c>
      <c r="H103" s="108">
        <v>9.11</v>
      </c>
      <c r="I103" s="108">
        <v>21.58</v>
      </c>
      <c r="J103" s="79"/>
    </row>
    <row r="104" spans="1:10">
      <c r="B104" s="118"/>
      <c r="C104" s="106"/>
      <c r="D104" s="105"/>
      <c r="E104" s="113"/>
      <c r="F104" s="107"/>
      <c r="G104" s="107"/>
      <c r="H104" s="107"/>
      <c r="I104" s="107"/>
      <c r="J104" s="79"/>
    </row>
    <row r="105" spans="1:10">
      <c r="A105" s="75" t="s">
        <v>492</v>
      </c>
      <c r="B105" s="110" t="s">
        <v>493</v>
      </c>
      <c r="C105" s="106"/>
      <c r="D105" s="105"/>
      <c r="E105" s="113"/>
      <c r="F105" s="107"/>
      <c r="G105" s="107"/>
      <c r="H105" s="107"/>
      <c r="I105" s="107"/>
      <c r="J105" s="79"/>
    </row>
    <row r="106" spans="1:10">
      <c r="B106" s="118"/>
      <c r="C106" s="106"/>
      <c r="D106" s="105"/>
      <c r="E106" s="113"/>
      <c r="F106" s="107"/>
      <c r="G106" s="107"/>
      <c r="H106" s="107"/>
      <c r="I106" s="107"/>
      <c r="J106" s="79"/>
    </row>
    <row r="107" spans="1:10">
      <c r="B107" s="116" t="s">
        <v>477</v>
      </c>
      <c r="C107" s="106"/>
      <c r="D107" s="105"/>
      <c r="E107" s="113"/>
      <c r="F107" s="107"/>
      <c r="G107" s="107"/>
      <c r="H107" s="107"/>
      <c r="I107" s="107"/>
      <c r="J107" s="79"/>
    </row>
    <row r="108" spans="1:10">
      <c r="B108" s="118"/>
      <c r="C108" s="106"/>
      <c r="D108" s="105"/>
      <c r="E108" s="113"/>
      <c r="F108" s="107"/>
      <c r="G108" s="107"/>
      <c r="H108" s="107"/>
      <c r="I108" s="107"/>
      <c r="J108" s="79"/>
    </row>
    <row r="109" spans="1:10">
      <c r="B109" s="119">
        <v>4.5999999999999996</v>
      </c>
      <c r="C109" s="106">
        <v>530</v>
      </c>
      <c r="D109" s="105"/>
      <c r="E109" s="113">
        <v>3</v>
      </c>
      <c r="F109" s="108">
        <v>0.25</v>
      </c>
      <c r="G109" s="108">
        <v>0</v>
      </c>
      <c r="H109" s="108">
        <v>0</v>
      </c>
      <c r="I109" s="108">
        <v>0.25</v>
      </c>
      <c r="J109" s="79" t="s">
        <v>494</v>
      </c>
    </row>
    <row r="110" spans="1:10">
      <c r="B110" s="119">
        <v>7.5</v>
      </c>
      <c r="C110" s="106">
        <v>531</v>
      </c>
      <c r="D110" s="105"/>
      <c r="E110" s="113">
        <v>5</v>
      </c>
      <c r="F110" s="107">
        <v>0.41</v>
      </c>
      <c r="G110" s="107">
        <v>0</v>
      </c>
      <c r="H110" s="107">
        <v>0</v>
      </c>
      <c r="I110" s="107">
        <v>0.41</v>
      </c>
      <c r="J110" s="79" t="s">
        <v>495</v>
      </c>
    </row>
    <row r="111" spans="1:10">
      <c r="B111" s="118"/>
      <c r="C111" s="106"/>
      <c r="D111" s="105"/>
      <c r="E111" s="113"/>
      <c r="F111" s="107"/>
      <c r="G111" s="107"/>
      <c r="H111" s="107"/>
      <c r="I111" s="107"/>
      <c r="J111" s="79"/>
    </row>
    <row r="112" spans="1:10">
      <c r="B112" s="118"/>
      <c r="C112" s="106"/>
      <c r="D112" s="105"/>
      <c r="E112" s="113"/>
      <c r="F112" s="107"/>
      <c r="G112" s="107"/>
      <c r="H112" s="107"/>
      <c r="I112" s="107"/>
      <c r="J112" s="79"/>
    </row>
    <row r="113" spans="2:10">
      <c r="B113" s="86" t="s">
        <v>496</v>
      </c>
      <c r="C113" s="87" t="s">
        <v>497</v>
      </c>
      <c r="D113" s="88"/>
      <c r="E113" s="89"/>
      <c r="F113" s="90">
        <v>0.1009</v>
      </c>
      <c r="G113" s="91" t="s">
        <v>498</v>
      </c>
      <c r="H113" s="85"/>
      <c r="I113" s="85"/>
      <c r="J113" s="79"/>
    </row>
    <row r="114" spans="2:10">
      <c r="B114" s="83"/>
      <c r="C114" s="84"/>
      <c r="D114" s="79"/>
      <c r="E114" s="81"/>
      <c r="F114" s="85"/>
      <c r="G114" s="85"/>
      <c r="H114" s="85"/>
      <c r="I114" s="85"/>
      <c r="J114" s="79"/>
    </row>
    <row r="115" spans="2:10">
      <c r="B115" s="92" t="s">
        <v>499</v>
      </c>
      <c r="C115" s="93"/>
      <c r="D115" s="93"/>
      <c r="E115" s="93"/>
      <c r="J115" s="79"/>
    </row>
    <row r="116" spans="2:10">
      <c r="B116" s="93"/>
      <c r="C116" s="93"/>
      <c r="D116" s="93"/>
      <c r="E116" s="93"/>
      <c r="J116" s="79"/>
    </row>
    <row r="117" spans="2:10">
      <c r="B117" s="93" t="s">
        <v>450</v>
      </c>
      <c r="C117" s="93"/>
      <c r="D117" s="93"/>
      <c r="E117" s="93"/>
      <c r="J117" s="79"/>
    </row>
    <row r="118" spans="2:10">
      <c r="B118" s="93"/>
      <c r="C118" s="93"/>
      <c r="D118" s="93"/>
      <c r="E118" s="93"/>
      <c r="J118" s="79"/>
    </row>
    <row r="119" spans="2:10">
      <c r="B119" s="93" t="s">
        <v>451</v>
      </c>
      <c r="C119" s="94" t="s">
        <v>500</v>
      </c>
      <c r="D119" s="93"/>
      <c r="E119" s="93">
        <v>97</v>
      </c>
      <c r="F119" s="95">
        <f>+F24</f>
        <v>12.6</v>
      </c>
      <c r="G119" s="95">
        <v>0</v>
      </c>
      <c r="H119" s="95">
        <v>0</v>
      </c>
      <c r="I119" s="95">
        <f>SUM(F119:H119)</f>
        <v>12.6</v>
      </c>
      <c r="J119" s="79"/>
    </row>
    <row r="120" spans="2:10">
      <c r="B120" s="93"/>
      <c r="C120" s="96"/>
      <c r="D120" s="93"/>
      <c r="E120" s="93"/>
      <c r="F120" s="77"/>
      <c r="G120" s="77"/>
      <c r="H120" s="77"/>
      <c r="I120" s="77"/>
      <c r="J120" s="79"/>
    </row>
    <row r="121" spans="2:10">
      <c r="B121" s="93" t="s">
        <v>454</v>
      </c>
      <c r="C121" s="96"/>
      <c r="D121" s="93"/>
      <c r="E121" s="93"/>
      <c r="F121" s="77"/>
      <c r="G121" s="77"/>
      <c r="H121" s="77"/>
      <c r="I121" s="77"/>
      <c r="J121" s="79"/>
    </row>
    <row r="122" spans="2:10">
      <c r="B122" s="93"/>
      <c r="C122" s="96"/>
      <c r="D122" s="93"/>
      <c r="E122" s="93"/>
      <c r="F122" s="77"/>
      <c r="G122" s="77"/>
      <c r="H122" s="77"/>
      <c r="I122" s="77"/>
      <c r="J122" s="79"/>
    </row>
    <row r="123" spans="2:10">
      <c r="B123" s="93" t="s">
        <v>456</v>
      </c>
      <c r="C123" s="96">
        <v>301</v>
      </c>
      <c r="D123" s="93"/>
      <c r="E123" s="93">
        <v>52</v>
      </c>
      <c r="F123" s="97">
        <v>5.16</v>
      </c>
      <c r="G123" s="97">
        <v>0</v>
      </c>
      <c r="H123" s="97">
        <v>0</v>
      </c>
      <c r="I123" s="97">
        <v>5.16</v>
      </c>
      <c r="J123" s="79"/>
    </row>
    <row r="124" spans="2:10">
      <c r="B124" s="93" t="s">
        <v>458</v>
      </c>
      <c r="C124" s="96">
        <v>302</v>
      </c>
      <c r="D124" s="93"/>
      <c r="E124" s="93">
        <v>69</v>
      </c>
      <c r="F124" s="97">
        <v>6.84</v>
      </c>
      <c r="G124" s="97">
        <v>0</v>
      </c>
      <c r="H124" s="97">
        <v>0</v>
      </c>
      <c r="I124" s="97">
        <v>6.84</v>
      </c>
      <c r="J124" s="79"/>
    </row>
    <row r="125" spans="2:10">
      <c r="B125" s="93" t="s">
        <v>459</v>
      </c>
      <c r="C125" s="96">
        <v>303</v>
      </c>
      <c r="D125" s="93"/>
      <c r="E125" s="93">
        <v>97</v>
      </c>
      <c r="F125" s="98">
        <v>9.6300000000000008</v>
      </c>
      <c r="G125" s="97">
        <v>0</v>
      </c>
      <c r="H125" s="97">
        <v>0</v>
      </c>
      <c r="I125" s="97">
        <v>9.6199999999999992</v>
      </c>
      <c r="J125" s="79"/>
    </row>
    <row r="126" spans="2:10">
      <c r="B126" s="93" t="s">
        <v>461</v>
      </c>
      <c r="C126" s="96">
        <v>304</v>
      </c>
      <c r="D126" s="93"/>
      <c r="E126" s="93">
        <v>154</v>
      </c>
      <c r="F126" s="97">
        <v>15.29</v>
      </c>
      <c r="G126" s="97">
        <v>0</v>
      </c>
      <c r="H126" s="97">
        <v>0</v>
      </c>
      <c r="I126" s="97">
        <v>15.29</v>
      </c>
      <c r="J126" s="79"/>
    </row>
    <row r="127" spans="2:10">
      <c r="B127" s="93" t="s">
        <v>462</v>
      </c>
      <c r="C127" s="96">
        <v>305</v>
      </c>
      <c r="D127" s="93"/>
      <c r="E127" s="93">
        <v>260</v>
      </c>
      <c r="F127" s="97">
        <v>25.82</v>
      </c>
      <c r="G127" s="97">
        <v>0</v>
      </c>
      <c r="H127" s="97">
        <v>0</v>
      </c>
      <c r="I127" s="97">
        <v>25.82</v>
      </c>
      <c r="J127" s="79"/>
    </row>
    <row r="128" spans="2:10">
      <c r="B128" s="93" t="s">
        <v>463</v>
      </c>
      <c r="C128" s="96">
        <v>306</v>
      </c>
      <c r="D128" s="93"/>
      <c r="E128" s="93">
        <v>363</v>
      </c>
      <c r="F128" s="98">
        <v>36.049999999999997</v>
      </c>
      <c r="G128" s="97">
        <v>0</v>
      </c>
      <c r="H128" s="97">
        <v>0</v>
      </c>
      <c r="I128" s="97">
        <v>36.049999999999997</v>
      </c>
      <c r="J128" s="79"/>
    </row>
    <row r="129" spans="2:10">
      <c r="B129" s="93"/>
      <c r="C129" s="96"/>
      <c r="D129" s="93"/>
      <c r="E129" s="93"/>
      <c r="F129" s="77"/>
      <c r="G129" s="77"/>
      <c r="H129" s="77"/>
      <c r="I129" s="77"/>
      <c r="J129" s="79"/>
    </row>
    <row r="130" spans="2:10">
      <c r="B130" s="93" t="s">
        <v>465</v>
      </c>
      <c r="C130" s="96"/>
      <c r="D130" s="93"/>
      <c r="E130" s="93"/>
      <c r="F130" s="77"/>
      <c r="G130" s="77"/>
      <c r="H130" s="77"/>
      <c r="I130" s="77"/>
      <c r="J130" s="79"/>
    </row>
    <row r="131" spans="2:10">
      <c r="B131" s="93"/>
      <c r="C131" s="96"/>
      <c r="D131" s="93"/>
      <c r="E131" s="93"/>
      <c r="F131" s="77"/>
      <c r="G131" s="77"/>
      <c r="H131" s="77"/>
      <c r="I131" s="77"/>
      <c r="J131" s="79"/>
    </row>
    <row r="132" spans="2:10">
      <c r="B132" s="99" t="s">
        <v>466</v>
      </c>
      <c r="C132" s="96"/>
      <c r="D132" s="93"/>
      <c r="E132" s="93"/>
      <c r="F132" s="77"/>
      <c r="G132" s="77"/>
      <c r="H132" s="77"/>
      <c r="I132" s="77"/>
    </row>
    <row r="133" spans="2:10">
      <c r="B133" s="93"/>
      <c r="C133" s="96"/>
      <c r="D133" s="93"/>
      <c r="E133" s="93"/>
      <c r="F133" s="77"/>
      <c r="G133" s="77"/>
      <c r="H133" s="77"/>
      <c r="I133" s="77"/>
    </row>
    <row r="134" spans="2:10">
      <c r="B134" s="93" t="s">
        <v>501</v>
      </c>
      <c r="C134" s="96">
        <v>330</v>
      </c>
      <c r="D134" s="96">
        <v>4</v>
      </c>
      <c r="E134" s="93">
        <v>47</v>
      </c>
      <c r="F134" s="97">
        <v>4.6500000000000004</v>
      </c>
      <c r="G134" s="97">
        <v>0</v>
      </c>
      <c r="H134" s="97">
        <v>0</v>
      </c>
      <c r="I134" s="97">
        <v>4.6500000000000004</v>
      </c>
    </row>
    <row r="135" spans="2:10">
      <c r="B135" s="93"/>
      <c r="C135" s="96"/>
      <c r="D135" s="93"/>
      <c r="E135" s="93"/>
      <c r="F135" s="77"/>
      <c r="G135" s="77"/>
      <c r="H135" s="77"/>
      <c r="I135" s="77"/>
    </row>
    <row r="136" spans="2:10">
      <c r="B136" s="93" t="s">
        <v>472</v>
      </c>
      <c r="C136" s="96"/>
      <c r="D136" s="93"/>
      <c r="E136" s="93"/>
      <c r="F136" s="77"/>
      <c r="G136" s="77"/>
      <c r="H136" s="77"/>
      <c r="I136" s="77"/>
    </row>
    <row r="137" spans="2:10">
      <c r="B137" s="93"/>
      <c r="C137" s="96"/>
      <c r="D137" s="93"/>
      <c r="E137" s="93"/>
      <c r="F137" s="77"/>
      <c r="G137" s="77"/>
      <c r="H137" s="77"/>
      <c r="I137" s="77"/>
    </row>
    <row r="138" spans="2:10">
      <c r="B138" s="99" t="s">
        <v>466</v>
      </c>
      <c r="C138" s="96"/>
      <c r="D138" s="93"/>
      <c r="E138" s="93"/>
      <c r="F138" s="77"/>
      <c r="G138" s="77"/>
      <c r="H138" s="77"/>
      <c r="I138" s="77"/>
    </row>
    <row r="139" spans="2:10">
      <c r="B139" s="93"/>
      <c r="C139" s="96"/>
      <c r="D139" s="93"/>
      <c r="E139" s="93"/>
      <c r="F139" s="77"/>
      <c r="G139" s="77"/>
      <c r="H139" s="77"/>
      <c r="I139" s="77"/>
    </row>
    <row r="140" spans="2:10">
      <c r="B140" s="100" t="s">
        <v>470</v>
      </c>
      <c r="C140" s="96">
        <v>314</v>
      </c>
      <c r="D140" s="96">
        <v>1</v>
      </c>
      <c r="E140" s="93">
        <v>47</v>
      </c>
      <c r="F140" s="98">
        <v>4.67</v>
      </c>
      <c r="G140" s="97">
        <v>0</v>
      </c>
      <c r="H140" s="97">
        <v>0</v>
      </c>
      <c r="I140" s="97">
        <v>4.67</v>
      </c>
    </row>
    <row r="141" spans="2:10">
      <c r="B141" s="100" t="s">
        <v>469</v>
      </c>
      <c r="C141" s="96">
        <v>315</v>
      </c>
      <c r="D141" s="96">
        <v>1</v>
      </c>
      <c r="E141" s="93">
        <v>60</v>
      </c>
      <c r="F141" s="95">
        <v>5.96</v>
      </c>
      <c r="G141" s="95">
        <v>0</v>
      </c>
      <c r="H141" s="95">
        <v>0</v>
      </c>
      <c r="I141" s="95">
        <v>5.96</v>
      </c>
    </row>
    <row r="142" spans="2:10">
      <c r="B142" s="93"/>
      <c r="C142" s="96"/>
      <c r="D142" s="93"/>
      <c r="E142" s="93"/>
      <c r="F142" s="77"/>
      <c r="G142" s="77"/>
      <c r="H142" s="77"/>
      <c r="I142" s="77"/>
    </row>
    <row r="143" spans="2:10">
      <c r="B143" s="93" t="s">
        <v>476</v>
      </c>
      <c r="C143" s="96"/>
      <c r="D143" s="93"/>
      <c r="E143" s="93"/>
      <c r="F143" s="77"/>
      <c r="G143" s="77"/>
      <c r="H143" s="77"/>
      <c r="I143" s="77"/>
    </row>
    <row r="144" spans="2:10">
      <c r="B144" s="93"/>
      <c r="C144" s="96"/>
      <c r="D144" s="93"/>
      <c r="E144" s="93"/>
      <c r="F144" s="77"/>
      <c r="G144" s="77"/>
      <c r="H144" s="77"/>
      <c r="I144" s="77"/>
    </row>
    <row r="145" spans="2:9">
      <c r="B145" s="99" t="s">
        <v>477</v>
      </c>
      <c r="C145" s="96"/>
      <c r="D145" s="93"/>
      <c r="E145" s="93"/>
      <c r="F145" s="77"/>
      <c r="G145" s="77"/>
      <c r="H145" s="77"/>
      <c r="I145" s="77"/>
    </row>
    <row r="146" spans="2:9">
      <c r="B146" s="93"/>
      <c r="C146" s="96"/>
      <c r="D146" s="93"/>
      <c r="E146" s="93"/>
      <c r="F146" s="77"/>
      <c r="G146" s="77"/>
      <c r="H146" s="77"/>
      <c r="I146" s="77"/>
    </row>
    <row r="147" spans="2:9">
      <c r="B147" s="100" t="s">
        <v>480</v>
      </c>
      <c r="C147" s="96">
        <v>331</v>
      </c>
      <c r="D147" s="93"/>
      <c r="E147" s="93">
        <v>80</v>
      </c>
      <c r="F147" s="95">
        <v>7.94</v>
      </c>
      <c r="G147" s="95">
        <v>0</v>
      </c>
      <c r="H147" s="95">
        <v>0</v>
      </c>
      <c r="I147" s="95">
        <v>7.94</v>
      </c>
    </row>
    <row r="148" spans="2:9">
      <c r="B148" s="93"/>
      <c r="C148" s="96"/>
      <c r="D148" s="93"/>
      <c r="E148" s="93"/>
      <c r="F148" s="77"/>
      <c r="G148" s="77"/>
      <c r="H148" s="77"/>
      <c r="I148" s="77"/>
    </row>
    <row r="149" spans="2:9">
      <c r="B149" s="93" t="s">
        <v>482</v>
      </c>
      <c r="C149" s="96"/>
      <c r="D149" s="93"/>
      <c r="E149" s="93"/>
      <c r="F149" s="77"/>
      <c r="G149" s="77"/>
      <c r="H149" s="77"/>
      <c r="I149" s="77"/>
    </row>
    <row r="150" spans="2:9">
      <c r="B150" s="93"/>
      <c r="C150" s="96"/>
      <c r="D150" s="93"/>
      <c r="E150" s="93"/>
      <c r="F150" s="77"/>
      <c r="G150" s="77"/>
      <c r="H150" s="77"/>
      <c r="I150" s="77"/>
    </row>
    <row r="151" spans="2:9">
      <c r="B151" s="99" t="s">
        <v>477</v>
      </c>
      <c r="C151" s="96"/>
      <c r="D151" s="93"/>
      <c r="E151" s="93"/>
      <c r="F151" s="77"/>
      <c r="G151" s="77"/>
      <c r="H151" s="77"/>
      <c r="I151" s="77"/>
    </row>
    <row r="152" spans="2:9">
      <c r="B152" s="93"/>
      <c r="C152" s="96"/>
      <c r="D152" s="93"/>
      <c r="E152" s="93"/>
      <c r="F152" s="77"/>
      <c r="G152" s="77"/>
      <c r="H152" s="77"/>
      <c r="I152" s="77"/>
    </row>
    <row r="153" spans="2:9">
      <c r="B153" s="198">
        <v>1000</v>
      </c>
      <c r="C153" s="96">
        <v>452</v>
      </c>
      <c r="D153" s="93"/>
      <c r="E153" s="93">
        <v>363</v>
      </c>
      <c r="F153" s="97">
        <v>36.06</v>
      </c>
      <c r="G153" s="97">
        <v>3.89</v>
      </c>
      <c r="H153" s="97">
        <f>I153-F153-G153</f>
        <v>16.479999999999997</v>
      </c>
      <c r="I153" s="97">
        <v>56.43</v>
      </c>
    </row>
    <row r="154" spans="2:9">
      <c r="B154" s="93"/>
      <c r="C154" s="96"/>
      <c r="D154" s="93"/>
      <c r="E154" s="93"/>
      <c r="F154" s="77"/>
      <c r="G154" s="77"/>
      <c r="H154" s="77"/>
      <c r="I154" s="77"/>
    </row>
    <row r="155" spans="2:9">
      <c r="B155" s="100" t="s">
        <v>502</v>
      </c>
      <c r="C155" s="96">
        <v>322</v>
      </c>
      <c r="D155" s="93"/>
      <c r="E155" s="93">
        <v>32</v>
      </c>
      <c r="F155" s="98">
        <v>3.17</v>
      </c>
      <c r="G155" s="97">
        <v>0</v>
      </c>
      <c r="H155" s="97">
        <v>0</v>
      </c>
      <c r="I155" s="97">
        <v>3.17</v>
      </c>
    </row>
    <row r="156" spans="2:9">
      <c r="B156" s="100" t="s">
        <v>2</v>
      </c>
      <c r="C156" s="96">
        <v>323</v>
      </c>
      <c r="D156" s="93"/>
      <c r="E156" s="93">
        <v>45</v>
      </c>
      <c r="F156" s="97">
        <v>4.47</v>
      </c>
      <c r="G156" s="97">
        <v>0</v>
      </c>
      <c r="H156" s="97">
        <v>0</v>
      </c>
      <c r="I156" s="97">
        <v>4.47</v>
      </c>
    </row>
    <row r="157" spans="2:9">
      <c r="B157" s="100" t="s">
        <v>484</v>
      </c>
      <c r="C157" s="96">
        <v>324</v>
      </c>
      <c r="D157" s="93"/>
      <c r="E157" s="93">
        <v>65</v>
      </c>
      <c r="F157" s="97">
        <v>6.45</v>
      </c>
      <c r="G157" s="97">
        <v>0</v>
      </c>
      <c r="H157" s="97">
        <v>0</v>
      </c>
      <c r="I157" s="97">
        <v>6.45</v>
      </c>
    </row>
    <row r="158" spans="2:9">
      <c r="B158" s="100" t="s">
        <v>485</v>
      </c>
      <c r="C158" s="96">
        <v>321</v>
      </c>
      <c r="D158" s="93"/>
      <c r="E158" s="93">
        <v>100</v>
      </c>
      <c r="F158" s="97">
        <v>9.93</v>
      </c>
      <c r="G158" s="97">
        <v>0</v>
      </c>
      <c r="H158" s="97">
        <v>0</v>
      </c>
      <c r="I158" s="97">
        <v>9.93</v>
      </c>
    </row>
    <row r="159" spans="2:9">
      <c r="B159" s="100" t="s">
        <v>486</v>
      </c>
      <c r="C159" s="96">
        <v>326</v>
      </c>
      <c r="D159" s="93"/>
      <c r="E159" s="93">
        <v>150</v>
      </c>
      <c r="F159" s="98">
        <v>14.89</v>
      </c>
      <c r="G159" s="97">
        <v>0</v>
      </c>
      <c r="H159" s="97">
        <v>0</v>
      </c>
      <c r="I159" s="97">
        <v>14.89</v>
      </c>
    </row>
    <row r="160" spans="2:9">
      <c r="B160" s="101">
        <v>500</v>
      </c>
      <c r="C160" s="96">
        <v>327</v>
      </c>
      <c r="D160" s="93"/>
      <c r="E160" s="93">
        <v>183</v>
      </c>
      <c r="F160" s="97">
        <v>18.190000000000001</v>
      </c>
      <c r="G160" s="97">
        <v>0</v>
      </c>
      <c r="H160" s="97">
        <v>0</v>
      </c>
      <c r="I160" s="97">
        <v>18.190000000000001</v>
      </c>
    </row>
    <row r="161" spans="2:9">
      <c r="B161" s="93"/>
      <c r="C161" s="96"/>
      <c r="D161" s="93"/>
      <c r="E161" s="93"/>
      <c r="F161" s="77"/>
      <c r="G161" s="77"/>
      <c r="H161" s="77"/>
      <c r="I161" s="77"/>
    </row>
    <row r="162" spans="2:9">
      <c r="B162" s="93" t="s">
        <v>488</v>
      </c>
      <c r="C162" s="96"/>
      <c r="D162" s="93"/>
      <c r="E162" s="93"/>
      <c r="F162" s="77"/>
      <c r="G162" s="77"/>
      <c r="H162" s="77"/>
      <c r="I162" s="77"/>
    </row>
    <row r="163" spans="2:9">
      <c r="B163" s="93"/>
      <c r="C163" s="96"/>
      <c r="D163" s="93"/>
      <c r="E163" s="93"/>
      <c r="F163" s="77"/>
      <c r="G163" s="77"/>
      <c r="H163" s="77"/>
      <c r="I163" s="77"/>
    </row>
    <row r="164" spans="2:9">
      <c r="B164" s="99" t="s">
        <v>477</v>
      </c>
      <c r="C164" s="96"/>
      <c r="D164" s="93"/>
      <c r="E164" s="93"/>
      <c r="F164" s="77"/>
      <c r="G164" s="77"/>
      <c r="H164" s="77"/>
      <c r="I164" s="77"/>
    </row>
    <row r="165" spans="2:9">
      <c r="B165" s="93"/>
      <c r="C165" s="96"/>
      <c r="D165" s="93"/>
      <c r="E165" s="93"/>
      <c r="F165" s="77"/>
      <c r="G165" s="77"/>
      <c r="H165" s="77"/>
      <c r="I165" s="77"/>
    </row>
    <row r="166" spans="2:9">
      <c r="B166" s="100" t="s">
        <v>484</v>
      </c>
      <c r="C166" s="96">
        <v>143</v>
      </c>
      <c r="D166" s="93"/>
      <c r="E166" s="93">
        <v>67</v>
      </c>
      <c r="F166" s="97">
        <v>6.64</v>
      </c>
      <c r="G166" s="97">
        <v>2.54</v>
      </c>
      <c r="H166" s="97">
        <v>9.1</v>
      </c>
      <c r="I166" s="97">
        <v>18.28</v>
      </c>
    </row>
    <row r="167" spans="2:9">
      <c r="B167" s="93"/>
      <c r="C167" s="96"/>
      <c r="D167" s="93"/>
      <c r="E167" s="93"/>
      <c r="F167" s="77"/>
      <c r="G167" s="77"/>
      <c r="H167" s="77"/>
      <c r="I167" s="77"/>
    </row>
    <row r="168" spans="2:9">
      <c r="B168" s="100" t="s">
        <v>485</v>
      </c>
      <c r="C168" s="96">
        <v>343</v>
      </c>
      <c r="D168" s="93"/>
      <c r="E168" s="93">
        <v>100</v>
      </c>
      <c r="F168" s="97">
        <v>9.93</v>
      </c>
      <c r="G168" s="97">
        <v>0</v>
      </c>
      <c r="H168" s="97">
        <v>0</v>
      </c>
      <c r="I168" s="97">
        <v>9.93</v>
      </c>
    </row>
    <row r="169" spans="2:9">
      <c r="B169" s="100" t="s">
        <v>486</v>
      </c>
      <c r="C169" s="96">
        <v>342</v>
      </c>
      <c r="D169" s="93"/>
      <c r="E169" s="93">
        <v>150</v>
      </c>
      <c r="F169" s="98">
        <v>14.89</v>
      </c>
      <c r="G169" s="97">
        <v>0</v>
      </c>
      <c r="H169" s="97">
        <v>0</v>
      </c>
      <c r="I169" s="97">
        <v>14.89</v>
      </c>
    </row>
    <row r="170" spans="2:9">
      <c r="B170" s="100" t="s">
        <v>490</v>
      </c>
      <c r="C170" s="96">
        <v>341</v>
      </c>
      <c r="D170" s="93"/>
      <c r="E170" s="93">
        <v>360</v>
      </c>
      <c r="F170" s="98">
        <v>35.75</v>
      </c>
      <c r="G170" s="97">
        <v>0</v>
      </c>
      <c r="H170" s="97">
        <v>0</v>
      </c>
      <c r="I170" s="97">
        <v>35.75</v>
      </c>
    </row>
    <row r="171" spans="2:9">
      <c r="B171" s="101">
        <v>175</v>
      </c>
      <c r="C171" s="96">
        <v>344</v>
      </c>
      <c r="D171" s="93"/>
      <c r="E171" s="93">
        <v>75</v>
      </c>
      <c r="F171" s="98">
        <v>7.45</v>
      </c>
      <c r="G171" s="97">
        <v>0</v>
      </c>
      <c r="H171" s="97">
        <v>0</v>
      </c>
      <c r="I171" s="97">
        <v>7.45</v>
      </c>
    </row>
    <row r="172" spans="2:9">
      <c r="B172" s="101">
        <v>150</v>
      </c>
      <c r="C172" s="96">
        <v>345</v>
      </c>
      <c r="D172" s="93"/>
      <c r="E172" s="93">
        <v>67</v>
      </c>
      <c r="F172" s="102">
        <v>6.64</v>
      </c>
      <c r="G172" s="95">
        <v>0</v>
      </c>
      <c r="H172" s="95">
        <v>0</v>
      </c>
      <c r="I172" s="95">
        <v>6.64</v>
      </c>
    </row>
    <row r="173" spans="2:9" ht="15.75" thickBot="1"/>
    <row r="174" spans="2:9" ht="15.75" thickBot="1">
      <c r="B174" s="103" t="s">
        <v>503</v>
      </c>
      <c r="C174" s="104">
        <v>75</v>
      </c>
    </row>
  </sheetData>
  <phoneticPr fontId="20" type="noConversion"/>
  <printOptions horizontalCentered="1"/>
  <pageMargins left="0.5" right="0.5" top="0.75" bottom="0.75" header="0.5" footer="0.5"/>
  <pageSetup scale="90" fitToHeight="3" orientation="landscape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opLeftCell="A26" workbookViewId="0">
      <selection activeCell="I31" sqref="I31"/>
    </sheetView>
  </sheetViews>
  <sheetFormatPr defaultRowHeight="15"/>
  <cols>
    <col min="1" max="1" width="3" customWidth="1"/>
    <col min="2" max="2" width="19.77734375" customWidth="1"/>
    <col min="3" max="9" width="9.88671875" customWidth="1"/>
    <col min="10" max="10" width="18" customWidth="1"/>
  </cols>
  <sheetData>
    <row r="1" spans="1:10" ht="18">
      <c r="A1" s="65" t="s">
        <v>692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thickBot="1">
      <c r="A2" s="67"/>
      <c r="B2" s="66"/>
      <c r="C2" s="66"/>
      <c r="D2" s="66"/>
      <c r="E2" s="66"/>
      <c r="F2" s="66"/>
      <c r="G2" s="66"/>
      <c r="H2" s="66"/>
      <c r="I2" s="66"/>
      <c r="J2" s="66"/>
    </row>
    <row r="3" spans="1:10" ht="16.5" thickBot="1">
      <c r="A3" s="68" t="s">
        <v>440</v>
      </c>
      <c r="B3" s="105"/>
      <c r="C3" s="69">
        <v>8.6400000000000005E-2</v>
      </c>
    </row>
    <row r="4" spans="1:10" ht="18">
      <c r="A4" s="70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5.75">
      <c r="A5" s="71" t="s">
        <v>441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5.75">
      <c r="A6" s="71" t="s">
        <v>442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B8" s="105"/>
      <c r="C8" s="105"/>
      <c r="D8" s="105"/>
      <c r="E8" s="105"/>
      <c r="F8" s="105"/>
      <c r="G8" s="105"/>
      <c r="H8" s="105"/>
      <c r="I8" s="105"/>
      <c r="J8" s="105"/>
    </row>
    <row r="9" spans="1:10">
      <c r="B9" s="105"/>
      <c r="C9" s="72" t="s">
        <v>443</v>
      </c>
      <c r="D9" s="72" t="s">
        <v>444</v>
      </c>
      <c r="E9" s="72"/>
      <c r="F9" s="72" t="s">
        <v>445</v>
      </c>
      <c r="G9" s="72"/>
      <c r="H9" s="72"/>
      <c r="I9" s="72"/>
    </row>
    <row r="10" spans="1:10">
      <c r="B10" s="73" t="s">
        <v>9</v>
      </c>
      <c r="C10" s="73" t="s">
        <v>34</v>
      </c>
      <c r="D10" s="73" t="s">
        <v>446</v>
      </c>
      <c r="E10" s="74" t="s">
        <v>447</v>
      </c>
      <c r="F10" s="73" t="s">
        <v>448</v>
      </c>
      <c r="G10" s="73" t="s">
        <v>87</v>
      </c>
      <c r="H10" s="73" t="s">
        <v>88</v>
      </c>
      <c r="I10" s="73" t="s">
        <v>50</v>
      </c>
    </row>
    <row r="12" spans="1:10">
      <c r="A12" s="75" t="s">
        <v>449</v>
      </c>
      <c r="B12" s="76" t="s">
        <v>450</v>
      </c>
      <c r="C12" s="76"/>
    </row>
    <row r="14" spans="1:10">
      <c r="B14" s="105" t="s">
        <v>451</v>
      </c>
      <c r="C14" s="106" t="s">
        <v>0</v>
      </c>
      <c r="D14" s="105"/>
      <c r="E14" s="105">
        <v>97</v>
      </c>
      <c r="F14" s="107">
        <f>ROUND(+'2005 Stlgt Rates'!F14*(1+$C$3),2)</f>
        <v>13.69</v>
      </c>
      <c r="G14" s="107">
        <f>ROUND(+'2005 Stlgt Rates'!G14*(1+$C$3),2)</f>
        <v>1.1599999999999999</v>
      </c>
      <c r="H14" s="107">
        <f>+I14-F14-G14</f>
        <v>3.8100000000000005</v>
      </c>
      <c r="I14" s="107">
        <f>ROUND(+'2005 Stlgt Rates'!I14*(1+$C$3),2)</f>
        <v>18.66</v>
      </c>
    </row>
    <row r="15" spans="1:10">
      <c r="B15" s="105" t="s">
        <v>452</v>
      </c>
      <c r="C15" s="106" t="s">
        <v>1</v>
      </c>
      <c r="D15" s="105"/>
      <c r="E15" s="105">
        <v>154</v>
      </c>
      <c r="F15" s="108">
        <f>ROUND(+'2005 Stlgt Rates'!F15*(1+$C$3),2)</f>
        <v>21.73</v>
      </c>
      <c r="G15" s="108">
        <f>ROUND(+'2005 Stlgt Rates'!G15*(1+$C$3),2)</f>
        <v>1.1599999999999999</v>
      </c>
      <c r="H15" s="108">
        <f>+I15-F15-G15</f>
        <v>4.1699999999999982</v>
      </c>
      <c r="I15" s="108">
        <f>ROUND(+'2005 Stlgt Rates'!I15*(1+$C$3),2)</f>
        <v>27.06</v>
      </c>
    </row>
    <row r="16" spans="1:10">
      <c r="B16" s="105"/>
      <c r="C16" s="109"/>
      <c r="D16" s="105"/>
      <c r="E16" s="105"/>
      <c r="F16" s="108"/>
      <c r="G16" s="108"/>
      <c r="H16" s="108"/>
      <c r="I16" s="108"/>
    </row>
    <row r="17" spans="1:10">
      <c r="A17" s="75" t="s">
        <v>453</v>
      </c>
      <c r="B17" s="110" t="s">
        <v>454</v>
      </c>
      <c r="C17" s="111"/>
      <c r="D17" s="105"/>
      <c r="E17" s="105"/>
      <c r="F17" s="108"/>
      <c r="G17" s="108"/>
      <c r="H17" s="108"/>
      <c r="I17" s="108"/>
    </row>
    <row r="18" spans="1:10">
      <c r="B18" s="105"/>
      <c r="C18" s="109"/>
      <c r="D18" s="105"/>
      <c r="E18" s="105"/>
      <c r="F18" s="108"/>
      <c r="G18" s="108"/>
      <c r="H18" s="108"/>
      <c r="I18" s="108"/>
    </row>
    <row r="19" spans="1:10">
      <c r="B19" s="105" t="s">
        <v>455</v>
      </c>
      <c r="C19" s="109">
        <v>100</v>
      </c>
      <c r="D19" s="105"/>
      <c r="E19" s="105">
        <v>43</v>
      </c>
      <c r="F19" s="108">
        <f>ROUND(+'2005 Stlgt Rates'!F19*(1+$C$3),2)</f>
        <v>6.08</v>
      </c>
      <c r="G19" s="108">
        <f>ROUND(+'2005 Stlgt Rates'!G19*(1+$C$3),2)</f>
        <v>1.1599999999999999</v>
      </c>
      <c r="H19" s="108">
        <f t="shared" ref="H19:H32" si="0">+I19-F19-G19</f>
        <v>3.41</v>
      </c>
      <c r="I19" s="108">
        <f>ROUND(+'2005 Stlgt Rates'!I19*(1+$C$3),2)</f>
        <v>10.65</v>
      </c>
    </row>
    <row r="20" spans="1:10">
      <c r="B20" s="105" t="s">
        <v>456</v>
      </c>
      <c r="C20" s="109">
        <v>101</v>
      </c>
      <c r="D20" s="105"/>
      <c r="E20" s="105">
        <v>52</v>
      </c>
      <c r="F20" s="108">
        <f>ROUND(+'2005 Stlgt Rates'!F20*(1+$C$3),2)</f>
        <v>7.33</v>
      </c>
      <c r="G20" s="108">
        <f>ROUND(+'2005 Stlgt Rates'!G20*(1+$C$3),2)</f>
        <v>1.54</v>
      </c>
      <c r="H20" s="108">
        <f t="shared" si="0"/>
        <v>3.4400000000000004</v>
      </c>
      <c r="I20" s="108">
        <f>ROUND(+'2005 Stlgt Rates'!I20*(1+$C$3),2)</f>
        <v>12.31</v>
      </c>
    </row>
    <row r="21" spans="1:10">
      <c r="B21" s="105" t="s">
        <v>456</v>
      </c>
      <c r="C21" s="109">
        <v>201</v>
      </c>
      <c r="D21" s="105"/>
      <c r="E21" s="105">
        <v>52</v>
      </c>
      <c r="F21" s="108">
        <f>ROUND(+'2005 Stlgt Rates'!F21*(1+$C$3),2)</f>
        <v>7.34</v>
      </c>
      <c r="G21" s="108">
        <f>ROUND(+'2005 Stlgt Rates'!G21*(1+$C$3),2)</f>
        <v>1.54</v>
      </c>
      <c r="H21" s="108">
        <f t="shared" si="0"/>
        <v>1.0000000000000675E-2</v>
      </c>
      <c r="I21" s="108">
        <f>ROUND(+'2005 Stlgt Rates'!I21*(1+$C$3),2)</f>
        <v>8.89</v>
      </c>
      <c r="J21" s="79" t="s">
        <v>457</v>
      </c>
    </row>
    <row r="22" spans="1:10">
      <c r="B22" s="105" t="s">
        <v>458</v>
      </c>
      <c r="C22" s="109">
        <v>102</v>
      </c>
      <c r="D22" s="105"/>
      <c r="E22" s="105">
        <v>69</v>
      </c>
      <c r="F22" s="108">
        <f>ROUND(+'2005 Stlgt Rates'!F22*(1+$C$3),2)</f>
        <v>9.76</v>
      </c>
      <c r="G22" s="108">
        <f>ROUND(+'2005 Stlgt Rates'!G22*(1+$C$3),2)</f>
        <v>1.1599999999999999</v>
      </c>
      <c r="H22" s="108">
        <f t="shared" si="0"/>
        <v>3.58</v>
      </c>
      <c r="I22" s="108">
        <f>ROUND(+'2005 Stlgt Rates'!I22*(1+$C$3),2)</f>
        <v>14.5</v>
      </c>
      <c r="J22" s="79"/>
    </row>
    <row r="23" spans="1:10">
      <c r="B23" s="105" t="s">
        <v>458</v>
      </c>
      <c r="C23" s="109">
        <v>202</v>
      </c>
      <c r="D23" s="105"/>
      <c r="E23" s="105">
        <v>69</v>
      </c>
      <c r="F23" s="108">
        <f>ROUND(+'2005 Stlgt Rates'!F23*(1+$C$3),2)</f>
        <v>9.77</v>
      </c>
      <c r="G23" s="108">
        <f>ROUND(+'2005 Stlgt Rates'!G23*(1+$C$3),2)</f>
        <v>1.1599999999999999</v>
      </c>
      <c r="H23" s="108">
        <f t="shared" si="0"/>
        <v>0</v>
      </c>
      <c r="I23" s="108">
        <f>ROUND(+'2005 Stlgt Rates'!I23*(1+$C$3),2)</f>
        <v>10.93</v>
      </c>
      <c r="J23" s="79" t="s">
        <v>457</v>
      </c>
    </row>
    <row r="24" spans="1:10">
      <c r="B24" s="105" t="s">
        <v>459</v>
      </c>
      <c r="C24" s="109">
        <v>103</v>
      </c>
      <c r="D24" s="105"/>
      <c r="E24" s="105">
        <v>97</v>
      </c>
      <c r="F24" s="108">
        <f>ROUND(+'2005 Stlgt Rates'!F24*(1+$C$3),2)</f>
        <v>13.69</v>
      </c>
      <c r="G24" s="108">
        <f>ROUND(+'2005 Stlgt Rates'!G24*(1+$C$3),2)</f>
        <v>1.1599999999999999</v>
      </c>
      <c r="H24" s="108">
        <f t="shared" si="0"/>
        <v>3.67</v>
      </c>
      <c r="I24" s="108">
        <f>ROUND(+'2005 Stlgt Rates'!I24*(1+$C$3),2)</f>
        <v>18.52</v>
      </c>
      <c r="J24" s="79"/>
    </row>
    <row r="25" spans="1:10">
      <c r="B25" s="105" t="s">
        <v>459</v>
      </c>
      <c r="C25" s="109">
        <v>107</v>
      </c>
      <c r="D25" s="105"/>
      <c r="E25" s="105">
        <v>212</v>
      </c>
      <c r="F25" s="108">
        <f>ROUND(+'2005 Stlgt Rates'!F25*(1+$C$3),2)</f>
        <v>22.31</v>
      </c>
      <c r="G25" s="108">
        <f>ROUND(+'2005 Stlgt Rates'!G25*(1+$C$3),2)</f>
        <v>2.34</v>
      </c>
      <c r="H25" s="108">
        <f t="shared" si="0"/>
        <v>3.6500000000000021</v>
      </c>
      <c r="I25" s="108">
        <f>ROUND(+'2005 Stlgt Rates'!I25*(1+$C$3),2)</f>
        <v>28.3</v>
      </c>
      <c r="J25" s="79" t="s">
        <v>460</v>
      </c>
    </row>
    <row r="26" spans="1:10">
      <c r="B26" s="105" t="s">
        <v>459</v>
      </c>
      <c r="C26" s="109">
        <v>203</v>
      </c>
      <c r="D26" s="105"/>
      <c r="E26" s="105">
        <v>97</v>
      </c>
      <c r="F26" s="108">
        <f>ROUND(+'2005 Stlgt Rates'!F26*(1+$C$3),2)</f>
        <v>13.69</v>
      </c>
      <c r="G26" s="108">
        <f>ROUND(+'2005 Stlgt Rates'!G26*(1+$C$3),2)</f>
        <v>1.1599999999999999</v>
      </c>
      <c r="H26" s="108">
        <f t="shared" si="0"/>
        <v>0</v>
      </c>
      <c r="I26" s="108">
        <f>ROUND(+'2005 Stlgt Rates'!I26*(1+$C$3),2)</f>
        <v>14.85</v>
      </c>
      <c r="J26" s="79" t="s">
        <v>457</v>
      </c>
    </row>
    <row r="27" spans="1:10">
      <c r="B27" s="105" t="s">
        <v>461</v>
      </c>
      <c r="C27" s="109">
        <v>104</v>
      </c>
      <c r="D27" s="105"/>
      <c r="E27" s="105">
        <v>154</v>
      </c>
      <c r="F27" s="108">
        <f>ROUND(+'2005 Stlgt Rates'!F27*(1+$C$3),2)</f>
        <v>21.73</v>
      </c>
      <c r="G27" s="108">
        <f>ROUND(+'2005 Stlgt Rates'!G27*(1+$C$3),2)</f>
        <v>1.1599999999999999</v>
      </c>
      <c r="H27" s="108">
        <f t="shared" si="0"/>
        <v>4.129999999999999</v>
      </c>
      <c r="I27" s="108">
        <f>ROUND(+'2005 Stlgt Rates'!I27*(1+$C$3),2)</f>
        <v>27.02</v>
      </c>
      <c r="J27" s="79"/>
    </row>
    <row r="28" spans="1:10">
      <c r="B28" s="105" t="s">
        <v>461</v>
      </c>
      <c r="C28" s="109">
        <v>204</v>
      </c>
      <c r="D28" s="105"/>
      <c r="E28" s="105">
        <v>154</v>
      </c>
      <c r="F28" s="108">
        <f>ROUND(+'2005 Stlgt Rates'!F28*(1+$C$3),2)</f>
        <v>21.73</v>
      </c>
      <c r="G28" s="108">
        <f>ROUND(+'2005 Stlgt Rates'!G28*(1+$C$3),2)</f>
        <v>1.1599999999999999</v>
      </c>
      <c r="H28" s="108">
        <f t="shared" si="0"/>
        <v>1.9999999999999796E-2</v>
      </c>
      <c r="I28" s="108">
        <f>ROUND(+'2005 Stlgt Rates'!I28*(1+$C$3),2)</f>
        <v>22.91</v>
      </c>
      <c r="J28" s="79" t="s">
        <v>457</v>
      </c>
    </row>
    <row r="29" spans="1:10">
      <c r="B29" s="105" t="s">
        <v>462</v>
      </c>
      <c r="C29" s="109">
        <v>105</v>
      </c>
      <c r="D29" s="105"/>
      <c r="E29" s="105">
        <v>260</v>
      </c>
      <c r="F29" s="108">
        <f>ROUND(+'2005 Stlgt Rates'!F29*(1+$C$3),2)</f>
        <v>36.700000000000003</v>
      </c>
      <c r="G29" s="108">
        <f>ROUND(+'2005 Stlgt Rates'!G29*(1+$C$3),2)</f>
        <v>1.1599999999999999</v>
      </c>
      <c r="H29" s="108">
        <f t="shared" si="0"/>
        <v>12.77</v>
      </c>
      <c r="I29" s="108">
        <f>ROUND(+'2005 Stlgt Rates'!I29*(1+$C$3),2)</f>
        <v>50.63</v>
      </c>
      <c r="J29" s="79"/>
    </row>
    <row r="30" spans="1:10">
      <c r="B30" s="105" t="s">
        <v>462</v>
      </c>
      <c r="C30" s="109">
        <v>205</v>
      </c>
      <c r="D30" s="105"/>
      <c r="E30" s="105">
        <v>260</v>
      </c>
      <c r="F30" s="108">
        <f>ROUND(+'2005 Stlgt Rates'!F30*(1+$C$3),2)</f>
        <v>36.700000000000003</v>
      </c>
      <c r="G30" s="108">
        <f>ROUND(+'2005 Stlgt Rates'!G30*(1+$C$3),2)</f>
        <v>1.1599999999999999</v>
      </c>
      <c r="H30" s="108">
        <f t="shared" si="0"/>
        <v>-3.3306690738754696E-15</v>
      </c>
      <c r="I30" s="108">
        <f>ROUND(+'2005 Stlgt Rates'!I30*(1+$C$3),2)</f>
        <v>37.86</v>
      </c>
      <c r="J30" s="79" t="s">
        <v>457</v>
      </c>
    </row>
    <row r="31" spans="1:10">
      <c r="B31" s="105" t="s">
        <v>463</v>
      </c>
      <c r="C31" s="109">
        <v>106</v>
      </c>
      <c r="D31" s="105"/>
      <c r="E31" s="105">
        <v>363</v>
      </c>
      <c r="F31" s="108">
        <f>ROUND(+'2005 Stlgt Rates'!F31*(1+$C$3),2)</f>
        <v>51.22</v>
      </c>
      <c r="G31" s="108">
        <f>ROUND(+'2005 Stlgt Rates'!G31*(1+$C$3),2)</f>
        <v>1.1599999999999999</v>
      </c>
      <c r="H31" s="108">
        <f t="shared" si="0"/>
        <v>12.95</v>
      </c>
      <c r="I31" s="108">
        <f>ROUND(+'2005 Stlgt Rates'!I31*(1+$C$3),2)</f>
        <v>65.33</v>
      </c>
      <c r="J31" s="79"/>
    </row>
    <row r="32" spans="1:10">
      <c r="B32" s="105" t="s">
        <v>463</v>
      </c>
      <c r="C32" s="109">
        <v>206</v>
      </c>
      <c r="D32" s="105"/>
      <c r="E32" s="105">
        <v>363</v>
      </c>
      <c r="F32" s="108">
        <f>ROUND(+'2005 Stlgt Rates'!F32*(1+$C$3),2)</f>
        <v>51.23</v>
      </c>
      <c r="G32" s="108">
        <f>ROUND(+'2005 Stlgt Rates'!G32*(1+$C$3),2)</f>
        <v>1.1599999999999999</v>
      </c>
      <c r="H32" s="108">
        <f t="shared" si="0"/>
        <v>1.0000000000001785E-2</v>
      </c>
      <c r="I32" s="108">
        <f>ROUND(+'2005 Stlgt Rates'!I32*(1+$C$3),2)</f>
        <v>52.4</v>
      </c>
      <c r="J32" s="79" t="s">
        <v>457</v>
      </c>
    </row>
    <row r="33" spans="1:10">
      <c r="C33" s="78"/>
      <c r="E33" s="77"/>
      <c r="F33" s="77"/>
      <c r="G33" s="77"/>
      <c r="H33" s="77"/>
      <c r="I33" s="77"/>
      <c r="J33" s="79"/>
    </row>
    <row r="34" spans="1:10">
      <c r="A34" s="75" t="s">
        <v>464</v>
      </c>
      <c r="B34" s="76" t="s">
        <v>465</v>
      </c>
      <c r="C34" s="72"/>
      <c r="E34" s="77"/>
      <c r="F34" s="77"/>
      <c r="G34" s="77"/>
      <c r="H34" s="77"/>
      <c r="I34" s="77"/>
      <c r="J34" s="79"/>
    </row>
    <row r="35" spans="1:10">
      <c r="C35" s="78"/>
      <c r="E35" s="77"/>
      <c r="F35" s="77"/>
      <c r="G35" s="77"/>
      <c r="H35" s="77"/>
      <c r="I35" s="77"/>
      <c r="J35" s="79"/>
    </row>
    <row r="36" spans="1:10">
      <c r="B36" s="80" t="s">
        <v>466</v>
      </c>
      <c r="C36" s="73"/>
      <c r="E36" s="77"/>
      <c r="F36" s="77"/>
      <c r="G36" s="77"/>
      <c r="H36" s="77"/>
      <c r="I36" s="77"/>
      <c r="J36" s="79"/>
    </row>
    <row r="37" spans="1:10">
      <c r="C37" s="78"/>
      <c r="E37" s="77"/>
      <c r="F37" s="77"/>
      <c r="G37" s="77"/>
      <c r="H37" s="77"/>
      <c r="I37" s="77"/>
      <c r="J37" s="79"/>
    </row>
    <row r="38" spans="1:10">
      <c r="B38" s="105" t="s">
        <v>467</v>
      </c>
      <c r="C38" s="109">
        <v>110</v>
      </c>
      <c r="D38" s="109">
        <v>2</v>
      </c>
      <c r="E38" s="113">
        <v>30</v>
      </c>
      <c r="F38" s="108">
        <f>ROUND(+'2005 Stlgt Rates'!F38*(1+$C$3),2)</f>
        <v>4.25</v>
      </c>
      <c r="G38" s="108">
        <f>ROUND(+'2005 Stlgt Rates'!G38*(1+$C$3),2)</f>
        <v>1.86</v>
      </c>
      <c r="H38" s="108">
        <f t="shared" ref="H38:H50" si="1">+I38-F38-G38</f>
        <v>4.089999999999999</v>
      </c>
      <c r="I38" s="108">
        <f>ROUND(+'2005 Stlgt Rates'!I38*(1+$C$3),2)</f>
        <v>10.199999999999999</v>
      </c>
      <c r="J38" s="79"/>
    </row>
    <row r="39" spans="1:10">
      <c r="B39" s="105" t="s">
        <v>468</v>
      </c>
      <c r="C39" s="109">
        <v>217</v>
      </c>
      <c r="D39" s="109">
        <v>1</v>
      </c>
      <c r="E39" s="113">
        <v>49</v>
      </c>
      <c r="F39" s="108">
        <f>ROUND(+'2005 Stlgt Rates'!F39*(1+$C$3),2)</f>
        <v>6.92</v>
      </c>
      <c r="G39" s="108">
        <f>ROUND(+'2005 Stlgt Rates'!G39*(1+$C$3),2)</f>
        <v>1.86</v>
      </c>
      <c r="H39" s="108">
        <f t="shared" si="1"/>
        <v>0</v>
      </c>
      <c r="I39" s="108">
        <f>ROUND(+'2005 Stlgt Rates'!I39*(1+$C$3),2)</f>
        <v>8.7799999999999994</v>
      </c>
      <c r="J39" s="79" t="s">
        <v>457</v>
      </c>
    </row>
    <row r="40" spans="1:10">
      <c r="B40" s="105" t="s">
        <v>468</v>
      </c>
      <c r="C40" s="109">
        <v>111</v>
      </c>
      <c r="D40" s="109">
        <v>2</v>
      </c>
      <c r="E40" s="113">
        <v>85</v>
      </c>
      <c r="F40" s="108">
        <f>ROUND(+'2005 Stlgt Rates'!F40*(1+$C$3),2)</f>
        <v>11.98</v>
      </c>
      <c r="G40" s="108">
        <f>ROUND(+'2005 Stlgt Rates'!G40*(1+$C$3),2)</f>
        <v>1.86</v>
      </c>
      <c r="H40" s="108">
        <f t="shared" si="1"/>
        <v>4.6999999999999984</v>
      </c>
      <c r="I40" s="108">
        <f>ROUND(+'2005 Stlgt Rates'!I40*(1+$C$3),2)</f>
        <v>18.54</v>
      </c>
      <c r="J40" s="79"/>
    </row>
    <row r="41" spans="1:10">
      <c r="B41" s="105" t="s">
        <v>468</v>
      </c>
      <c r="C41" s="109">
        <v>218</v>
      </c>
      <c r="D41" s="109">
        <v>2</v>
      </c>
      <c r="E41" s="113">
        <v>85</v>
      </c>
      <c r="F41" s="108">
        <f>ROUND(+'2005 Stlgt Rates'!F41*(1+$C$3),2)</f>
        <v>11.99</v>
      </c>
      <c r="G41" s="108">
        <f>ROUND(+'2005 Stlgt Rates'!G41*(1+$C$3),2)</f>
        <v>1.86</v>
      </c>
      <c r="H41" s="108">
        <f t="shared" si="1"/>
        <v>0</v>
      </c>
      <c r="I41" s="108">
        <f>ROUND(+'2005 Stlgt Rates'!I41*(1+$C$3),2)</f>
        <v>13.85</v>
      </c>
      <c r="J41" s="79" t="s">
        <v>457</v>
      </c>
    </row>
    <row r="42" spans="1:10">
      <c r="B42" s="105" t="s">
        <v>468</v>
      </c>
      <c r="C42" s="109">
        <v>116</v>
      </c>
      <c r="D42" s="109">
        <v>4</v>
      </c>
      <c r="E42" s="113">
        <v>166</v>
      </c>
      <c r="F42" s="108">
        <f>ROUND(+'2005 Stlgt Rates'!F42*(1+$C$3),2)</f>
        <v>23.46</v>
      </c>
      <c r="G42" s="108">
        <f>ROUND(+'2005 Stlgt Rates'!G42*(1+$C$3),2)</f>
        <v>1.86</v>
      </c>
      <c r="H42" s="108">
        <f t="shared" si="1"/>
        <v>5.96</v>
      </c>
      <c r="I42" s="108">
        <f>ROUND(+'2005 Stlgt Rates'!I42*(1+$C$3),2)</f>
        <v>31.28</v>
      </c>
      <c r="J42" s="79"/>
    </row>
    <row r="43" spans="1:10">
      <c r="B43" s="105" t="s">
        <v>468</v>
      </c>
      <c r="C43" s="109">
        <v>216</v>
      </c>
      <c r="D43" s="109">
        <v>4</v>
      </c>
      <c r="E43" s="113">
        <v>166</v>
      </c>
      <c r="F43" s="108">
        <f>ROUND(+'2005 Stlgt Rates'!F43*(1+$C$3),2)</f>
        <v>23.46</v>
      </c>
      <c r="G43" s="108">
        <f>ROUND(+'2005 Stlgt Rates'!G43*(1+$C$3),2)</f>
        <v>1.86</v>
      </c>
      <c r="H43" s="108">
        <f t="shared" si="1"/>
        <v>-1.0000000000002229E-2</v>
      </c>
      <c r="I43" s="108">
        <f>ROUND(+'2005 Stlgt Rates'!I43*(1+$C$3),2)</f>
        <v>25.31</v>
      </c>
      <c r="J43" s="79"/>
    </row>
    <row r="44" spans="1:10">
      <c r="B44" s="105" t="s">
        <v>469</v>
      </c>
      <c r="C44" s="109">
        <v>115</v>
      </c>
      <c r="D44" s="109">
        <v>1</v>
      </c>
      <c r="E44" s="113">
        <v>60</v>
      </c>
      <c r="F44" s="108">
        <f>ROUND(+'2005 Stlgt Rates'!F44*(1+$C$3),2)</f>
        <v>8.48</v>
      </c>
      <c r="G44" s="108">
        <f>ROUND(+'2005 Stlgt Rates'!G44*(1+$C$3),2)</f>
        <v>1.86</v>
      </c>
      <c r="H44" s="108">
        <f t="shared" si="1"/>
        <v>4.3999999999999995</v>
      </c>
      <c r="I44" s="108">
        <f>ROUND(+'2005 Stlgt Rates'!I44*(1+$C$3),2)</f>
        <v>14.74</v>
      </c>
      <c r="J44" s="79"/>
    </row>
    <row r="45" spans="1:10">
      <c r="B45" s="105" t="s">
        <v>469</v>
      </c>
      <c r="C45" s="109">
        <v>215</v>
      </c>
      <c r="D45" s="109">
        <v>1</v>
      </c>
      <c r="E45" s="113">
        <v>60</v>
      </c>
      <c r="F45" s="108">
        <f>ROUND(+'2005 Stlgt Rates'!F45*(1+$C$3),2)</f>
        <v>8.5</v>
      </c>
      <c r="G45" s="108">
        <f>ROUND(+'2005 Stlgt Rates'!G45*(1+$C$3),2)</f>
        <v>1.86</v>
      </c>
      <c r="H45" s="108">
        <f t="shared" si="1"/>
        <v>-1.0000000000000453E-2</v>
      </c>
      <c r="I45" s="108">
        <f>ROUND(+'2005 Stlgt Rates'!I45*(1+$C$3),2)</f>
        <v>10.35</v>
      </c>
      <c r="J45" s="79" t="s">
        <v>457</v>
      </c>
    </row>
    <row r="46" spans="1:10">
      <c r="B46" s="105" t="s">
        <v>469</v>
      </c>
      <c r="C46" s="109">
        <v>112</v>
      </c>
      <c r="D46" s="109">
        <v>2</v>
      </c>
      <c r="E46" s="113">
        <v>116</v>
      </c>
      <c r="F46" s="108">
        <f>ROUND(+'2005 Stlgt Rates'!F46*(1+$C$3),2)</f>
        <v>16.38</v>
      </c>
      <c r="G46" s="108">
        <f>ROUND(+'2005 Stlgt Rates'!G46*(1+$C$3),2)</f>
        <v>1.86</v>
      </c>
      <c r="H46" s="108">
        <f t="shared" si="1"/>
        <v>5.7499999999999991</v>
      </c>
      <c r="I46" s="108">
        <f>ROUND(+'2005 Stlgt Rates'!I46*(1+$C$3),2)</f>
        <v>23.99</v>
      </c>
      <c r="J46" s="79"/>
    </row>
    <row r="47" spans="1:10">
      <c r="B47" s="105" t="s">
        <v>469</v>
      </c>
      <c r="C47" s="109">
        <v>113</v>
      </c>
      <c r="D47" s="109">
        <v>4</v>
      </c>
      <c r="E47" s="113">
        <v>222</v>
      </c>
      <c r="F47" s="108">
        <f>ROUND(+'2005 Stlgt Rates'!F47*(1+$C$3),2)</f>
        <v>31.31</v>
      </c>
      <c r="G47" s="108">
        <f>ROUND(+'2005 Stlgt Rates'!G47*(1+$C$3),2)</f>
        <v>1.86</v>
      </c>
      <c r="H47" s="108">
        <f t="shared" si="1"/>
        <v>8.4400000000000013</v>
      </c>
      <c r="I47" s="108">
        <f>ROUND(+'2005 Stlgt Rates'!I47*(1+$C$3),2)</f>
        <v>41.61</v>
      </c>
      <c r="J47" s="79"/>
    </row>
    <row r="48" spans="1:10">
      <c r="B48" s="105" t="s">
        <v>469</v>
      </c>
      <c r="C48" s="109">
        <v>213</v>
      </c>
      <c r="D48" s="109">
        <v>4</v>
      </c>
      <c r="E48" s="113">
        <v>222</v>
      </c>
      <c r="F48" s="108">
        <f>ROUND(+'2005 Stlgt Rates'!F48*(1+$C$3),2)</f>
        <v>31.31</v>
      </c>
      <c r="G48" s="108">
        <f>ROUND(+'2005 Stlgt Rates'!G48*(1+$C$3),2)</f>
        <v>1.86</v>
      </c>
      <c r="H48" s="108">
        <f t="shared" si="1"/>
        <v>2.886579864025407E-15</v>
      </c>
      <c r="I48" s="108">
        <f>ROUND(+'2005 Stlgt Rates'!I48*(1+$C$3),2)</f>
        <v>33.17</v>
      </c>
      <c r="J48" s="79" t="s">
        <v>457</v>
      </c>
    </row>
    <row r="49" spans="1:10">
      <c r="B49" s="105" t="s">
        <v>470</v>
      </c>
      <c r="C49" s="109">
        <v>114</v>
      </c>
      <c r="D49" s="109">
        <v>1</v>
      </c>
      <c r="E49" s="113">
        <v>47</v>
      </c>
      <c r="F49" s="108">
        <f>ROUND(+'2005 Stlgt Rates'!F49*(1+$C$3),2)</f>
        <v>6.63</v>
      </c>
      <c r="G49" s="108">
        <f>ROUND(+'2005 Stlgt Rates'!G49*(1+$C$3),2)</f>
        <v>1.86</v>
      </c>
      <c r="H49" s="108">
        <f t="shared" si="1"/>
        <v>5.34</v>
      </c>
      <c r="I49" s="108">
        <f>ROUND(+'2005 Stlgt Rates'!I49*(1+$C$3),2)</f>
        <v>13.83</v>
      </c>
      <c r="J49" s="79"/>
    </row>
    <row r="50" spans="1:10">
      <c r="B50" s="105" t="s">
        <v>470</v>
      </c>
      <c r="C50" s="109">
        <v>214</v>
      </c>
      <c r="D50" s="109">
        <v>1</v>
      </c>
      <c r="E50" s="113">
        <v>47</v>
      </c>
      <c r="F50" s="108">
        <f>ROUND(+'2005 Stlgt Rates'!F50*(1+$C$3),2)</f>
        <v>6.63</v>
      </c>
      <c r="G50" s="108">
        <f>ROUND(+'2005 Stlgt Rates'!G50*(1+$C$3),2)</f>
        <v>1.86</v>
      </c>
      <c r="H50" s="108">
        <f t="shared" si="1"/>
        <v>-9.9999999999995648E-3</v>
      </c>
      <c r="I50" s="108">
        <f>ROUND(+'2005 Stlgt Rates'!I50*(1+$C$3),2)</f>
        <v>8.48</v>
      </c>
      <c r="J50" s="79" t="s">
        <v>457</v>
      </c>
    </row>
    <row r="51" spans="1:10">
      <c r="B51" s="105"/>
      <c r="C51" s="109"/>
      <c r="D51" s="105"/>
      <c r="E51" s="113"/>
      <c r="F51" s="108"/>
      <c r="G51" s="108"/>
      <c r="H51" s="108"/>
      <c r="I51" s="108"/>
      <c r="J51" s="79"/>
    </row>
    <row r="52" spans="1:10">
      <c r="A52" s="75" t="s">
        <v>471</v>
      </c>
      <c r="B52" s="110" t="s">
        <v>472</v>
      </c>
      <c r="C52" s="111"/>
      <c r="D52" s="105"/>
      <c r="E52" s="113"/>
      <c r="F52" s="108"/>
      <c r="G52" s="108"/>
      <c r="H52" s="108"/>
      <c r="I52" s="108"/>
      <c r="J52" s="79"/>
    </row>
    <row r="53" spans="1:10">
      <c r="B53" s="105"/>
      <c r="C53" s="109"/>
      <c r="D53" s="105"/>
      <c r="E53" s="113"/>
      <c r="F53" s="108"/>
      <c r="G53" s="108"/>
      <c r="H53" s="108"/>
      <c r="I53" s="108"/>
      <c r="J53" s="79"/>
    </row>
    <row r="54" spans="1:10">
      <c r="B54" s="114" t="s">
        <v>473</v>
      </c>
      <c r="C54" s="115"/>
      <c r="D54" s="105"/>
      <c r="E54" s="113"/>
      <c r="F54" s="108"/>
      <c r="G54" s="108"/>
      <c r="H54" s="108"/>
      <c r="I54" s="108"/>
      <c r="J54" s="79"/>
    </row>
    <row r="55" spans="1:10">
      <c r="B55" s="105"/>
      <c r="C55" s="109"/>
      <c r="D55" s="105"/>
      <c r="E55" s="113"/>
      <c r="F55" s="108"/>
      <c r="G55" s="108"/>
      <c r="H55" s="108"/>
      <c r="I55" s="108"/>
      <c r="J55" s="79"/>
    </row>
    <row r="56" spans="1:10">
      <c r="B56" s="116" t="s">
        <v>466</v>
      </c>
      <c r="C56" s="117"/>
      <c r="D56" s="105"/>
      <c r="E56" s="113"/>
      <c r="F56" s="108"/>
      <c r="G56" s="108"/>
      <c r="H56" s="108"/>
      <c r="I56" s="108"/>
      <c r="J56" s="79"/>
    </row>
    <row r="57" spans="1:10">
      <c r="B57" s="105"/>
      <c r="C57" s="109"/>
      <c r="D57" s="105"/>
      <c r="E57" s="113"/>
      <c r="F57" s="108"/>
      <c r="G57" s="108"/>
      <c r="H57" s="108"/>
      <c r="I57" s="108"/>
      <c r="J57" s="79"/>
    </row>
    <row r="58" spans="1:10">
      <c r="B58" s="105" t="s">
        <v>467</v>
      </c>
      <c r="C58" s="109">
        <v>118</v>
      </c>
      <c r="D58" s="109">
        <v>2</v>
      </c>
      <c r="E58" s="113">
        <v>66</v>
      </c>
      <c r="F58" s="108">
        <f>ROUND(+'2005 Stlgt Rates'!F58*(1+$C$3),2)</f>
        <v>6.96</v>
      </c>
      <c r="G58" s="108">
        <f>ROUND(+'2005 Stlgt Rates'!G58*(1+$C$3),2)</f>
        <v>0</v>
      </c>
      <c r="H58" s="108">
        <f>+I58-F58-G58</f>
        <v>0</v>
      </c>
      <c r="I58" s="108">
        <f>ROUND(+'2005 Stlgt Rates'!I58*(1+$C$3),2)</f>
        <v>6.96</v>
      </c>
      <c r="J58" s="79"/>
    </row>
    <row r="59" spans="1:10">
      <c r="B59" s="105" t="s">
        <v>468</v>
      </c>
      <c r="C59" s="109">
        <v>119</v>
      </c>
      <c r="D59" s="109">
        <v>4</v>
      </c>
      <c r="E59" s="113">
        <v>364</v>
      </c>
      <c r="F59" s="108">
        <f>ROUND(+'2005 Stlgt Rates'!F59*(1+$C$3),2)</f>
        <v>38.31</v>
      </c>
      <c r="G59" s="108">
        <f>ROUND(+'2005 Stlgt Rates'!G59*(1+$C$3),2)</f>
        <v>0</v>
      </c>
      <c r="H59" s="108">
        <f>+I59-F59-G59</f>
        <v>0</v>
      </c>
      <c r="I59" s="108">
        <f>ROUND(+'2005 Stlgt Rates'!I59*(1+$C$3),2)</f>
        <v>38.31</v>
      </c>
      <c r="J59" s="79"/>
    </row>
    <row r="60" spans="1:10">
      <c r="B60" s="105" t="s">
        <v>469</v>
      </c>
      <c r="C60" s="109">
        <v>117</v>
      </c>
      <c r="D60" s="109">
        <v>4</v>
      </c>
      <c r="E60" s="113">
        <v>486</v>
      </c>
      <c r="F60" s="108">
        <f>ROUND(+'2005 Stlgt Rates'!F60*(1+$C$3),2)</f>
        <v>51.15</v>
      </c>
      <c r="G60" s="108">
        <f>ROUND(+'2005 Stlgt Rates'!G60*(1+$C$3),2)</f>
        <v>0</v>
      </c>
      <c r="H60" s="108">
        <f>+I60-F60-G60</f>
        <v>0</v>
      </c>
      <c r="I60" s="108">
        <f>ROUND(+'2005 Stlgt Rates'!I60*(1+$C$3),2)</f>
        <v>51.15</v>
      </c>
      <c r="J60" s="79"/>
    </row>
    <row r="61" spans="1:10">
      <c r="B61" s="105" t="s">
        <v>470</v>
      </c>
      <c r="C61" s="109">
        <v>120</v>
      </c>
      <c r="D61" s="109">
        <v>2</v>
      </c>
      <c r="E61" s="113">
        <v>254</v>
      </c>
      <c r="F61" s="108">
        <f>ROUND(+'2005 Stlgt Rates'!F61*(1+$C$3),2)</f>
        <v>26.74</v>
      </c>
      <c r="G61" s="108">
        <f>ROUND(+'2005 Stlgt Rates'!G61*(1+$C$3),2)</f>
        <v>0</v>
      </c>
      <c r="H61" s="108">
        <f>+I61-F61-G61</f>
        <v>0</v>
      </c>
      <c r="I61" s="108">
        <f>ROUND(+'2005 Stlgt Rates'!I61*(1+$C$3),2)</f>
        <v>26.74</v>
      </c>
      <c r="J61" s="79"/>
    </row>
    <row r="62" spans="1:10">
      <c r="B62" s="105" t="s">
        <v>470</v>
      </c>
      <c r="C62" s="109">
        <v>150</v>
      </c>
      <c r="D62" s="109">
        <v>4</v>
      </c>
      <c r="E62" s="113">
        <v>613</v>
      </c>
      <c r="F62" s="108">
        <f>ROUND(+'2005 Stlgt Rates'!F62*(1+$C$3),2)</f>
        <v>64.52</v>
      </c>
      <c r="G62" s="108">
        <f>ROUND(+'2005 Stlgt Rates'!G62*(1+$C$3),2)</f>
        <v>0</v>
      </c>
      <c r="H62" s="108">
        <f>+I62-F62-G62</f>
        <v>0</v>
      </c>
      <c r="I62" s="108">
        <f>ROUND(+'2005 Stlgt Rates'!I62*(1+$C$3),2)</f>
        <v>64.52</v>
      </c>
      <c r="J62" s="79"/>
    </row>
    <row r="63" spans="1:10">
      <c r="B63" s="105"/>
      <c r="C63" s="109"/>
      <c r="D63" s="105"/>
      <c r="E63" s="113"/>
      <c r="F63" s="108"/>
      <c r="G63" s="108"/>
      <c r="H63" s="108"/>
      <c r="I63" s="108"/>
      <c r="J63" s="79"/>
    </row>
    <row r="64" spans="1:10">
      <c r="B64" s="114" t="s">
        <v>474</v>
      </c>
      <c r="C64" s="115"/>
      <c r="D64" s="105"/>
      <c r="E64" s="113"/>
      <c r="F64" s="108"/>
      <c r="G64" s="108"/>
      <c r="H64" s="108"/>
      <c r="I64" s="108"/>
      <c r="J64" s="79"/>
    </row>
    <row r="65" spans="1:10">
      <c r="B65" s="105"/>
      <c r="C65" s="109"/>
      <c r="D65" s="105"/>
      <c r="E65" s="113"/>
      <c r="F65" s="108"/>
      <c r="G65" s="108"/>
      <c r="H65" s="108"/>
      <c r="I65" s="108"/>
      <c r="J65" s="79"/>
    </row>
    <row r="66" spans="1:10">
      <c r="B66" s="116" t="s">
        <v>466</v>
      </c>
      <c r="C66" s="117"/>
      <c r="D66" s="105"/>
      <c r="E66" s="113"/>
      <c r="F66" s="108"/>
      <c r="G66" s="108"/>
      <c r="H66" s="108"/>
      <c r="I66" s="108"/>
      <c r="J66" s="79"/>
    </row>
    <row r="67" spans="1:10">
      <c r="B67" s="105"/>
      <c r="C67" s="109"/>
      <c r="D67" s="105"/>
      <c r="E67" s="113"/>
      <c r="F67" s="108"/>
      <c r="G67" s="108"/>
      <c r="H67" s="108"/>
      <c r="I67" s="108"/>
      <c r="J67" s="79"/>
    </row>
    <row r="68" spans="1:10">
      <c r="B68" s="105" t="s">
        <v>467</v>
      </c>
      <c r="C68" s="109">
        <v>310</v>
      </c>
      <c r="D68" s="109">
        <v>2</v>
      </c>
      <c r="E68" s="113">
        <v>30</v>
      </c>
      <c r="F68" s="108">
        <f>ROUND(+'2005 Stlgt Rates'!F68*(1+$C$3),2)</f>
        <v>4.25</v>
      </c>
      <c r="G68" s="108">
        <f>ROUND(+'2005 Stlgt Rates'!G68*(1+$C$3),2)</f>
        <v>0</v>
      </c>
      <c r="H68" s="108">
        <f>+I68-F68-G68</f>
        <v>0</v>
      </c>
      <c r="I68" s="108">
        <f>ROUND(+'2005 Stlgt Rates'!I68*(1+$C$3),2)</f>
        <v>4.25</v>
      </c>
      <c r="J68" s="79"/>
    </row>
    <row r="69" spans="1:10">
      <c r="B69" s="105" t="s">
        <v>468</v>
      </c>
      <c r="C69" s="109">
        <v>311</v>
      </c>
      <c r="D69" s="109">
        <v>4</v>
      </c>
      <c r="E69" s="113">
        <v>166</v>
      </c>
      <c r="F69" s="108">
        <f>ROUND(+'2005 Stlgt Rates'!F69*(1+$C$3),2)</f>
        <v>23.46</v>
      </c>
      <c r="G69" s="108">
        <f>ROUND(+'2005 Stlgt Rates'!G69*(1+$C$3),2)</f>
        <v>0</v>
      </c>
      <c r="H69" s="108">
        <f>+I69-F69-G69</f>
        <v>0</v>
      </c>
      <c r="I69" s="108">
        <f>ROUND(+'2005 Stlgt Rates'!I69*(1+$C$3),2)</f>
        <v>23.46</v>
      </c>
      <c r="J69" s="79"/>
    </row>
    <row r="70" spans="1:10">
      <c r="B70" s="105" t="s">
        <v>469</v>
      </c>
      <c r="C70" s="109">
        <v>313</v>
      </c>
      <c r="D70" s="109">
        <v>4</v>
      </c>
      <c r="E70" s="113">
        <v>222</v>
      </c>
      <c r="F70" s="108">
        <f>ROUND(+'2005 Stlgt Rates'!F70*(1+$C$3),2)</f>
        <v>31.33</v>
      </c>
      <c r="G70" s="108">
        <f>ROUND(+'2005 Stlgt Rates'!G70*(1+$C$3),2)</f>
        <v>0</v>
      </c>
      <c r="H70" s="108">
        <f>+I70-F70-G70</f>
        <v>0</v>
      </c>
      <c r="I70" s="108">
        <f>ROUND(+'2005 Stlgt Rates'!I70*(1+$C$3),2)</f>
        <v>31.33</v>
      </c>
      <c r="J70" s="79"/>
    </row>
    <row r="71" spans="1:10">
      <c r="B71" s="105" t="s">
        <v>469</v>
      </c>
      <c r="C71" s="109">
        <v>312</v>
      </c>
      <c r="D71" s="109">
        <v>2</v>
      </c>
      <c r="E71" s="113">
        <v>116</v>
      </c>
      <c r="F71" s="108">
        <f>ROUND(+'2005 Stlgt Rates'!F71*(1+$C$3),2)</f>
        <v>16.38</v>
      </c>
      <c r="G71" s="108">
        <f>ROUND(+'2005 Stlgt Rates'!G71*(1+$C$3),2)</f>
        <v>0</v>
      </c>
      <c r="H71" s="108">
        <f>+I71-F71-G71</f>
        <v>0</v>
      </c>
      <c r="I71" s="108">
        <f>ROUND(+'2005 Stlgt Rates'!I71*(1+$C$3),2)</f>
        <v>16.38</v>
      </c>
      <c r="J71" s="79"/>
    </row>
    <row r="72" spans="1:10">
      <c r="B72" s="105" t="s">
        <v>470</v>
      </c>
      <c r="C72" s="109">
        <v>350</v>
      </c>
      <c r="D72" s="109">
        <v>4</v>
      </c>
      <c r="E72" s="113">
        <v>280</v>
      </c>
      <c r="F72" s="108">
        <f>ROUND(+'2005 Stlgt Rates'!F72*(1+$C$3),2)</f>
        <v>39.51</v>
      </c>
      <c r="G72" s="108">
        <f>ROUND(+'2005 Stlgt Rates'!G72*(1+$C$3),2)</f>
        <v>0</v>
      </c>
      <c r="H72" s="108">
        <f>+I72-F72-G72</f>
        <v>0</v>
      </c>
      <c r="I72" s="108">
        <f>ROUND(+'2005 Stlgt Rates'!I72*(1+$C$3),2)</f>
        <v>39.51</v>
      </c>
      <c r="J72" s="79"/>
    </row>
    <row r="73" spans="1:10">
      <c r="B73" s="105"/>
      <c r="C73" s="109"/>
      <c r="D73" s="105"/>
      <c r="E73" s="113"/>
      <c r="F73" s="108"/>
      <c r="G73" s="108"/>
      <c r="H73" s="108"/>
      <c r="I73" s="108"/>
      <c r="J73" s="79"/>
    </row>
    <row r="74" spans="1:10">
      <c r="A74" s="75" t="s">
        <v>475</v>
      </c>
      <c r="B74" s="110" t="s">
        <v>476</v>
      </c>
      <c r="C74" s="111"/>
      <c r="D74" s="105"/>
      <c r="E74" s="113"/>
      <c r="F74" s="108"/>
      <c r="G74" s="108"/>
      <c r="H74" s="108"/>
      <c r="I74" s="108"/>
      <c r="J74" s="79"/>
    </row>
    <row r="75" spans="1:10">
      <c r="B75" s="105"/>
      <c r="C75" s="109"/>
      <c r="D75" s="105"/>
      <c r="E75" s="113"/>
      <c r="F75" s="108"/>
      <c r="G75" s="108"/>
      <c r="H75" s="108"/>
      <c r="I75" s="108"/>
      <c r="J75" s="79"/>
    </row>
    <row r="76" spans="1:10">
      <c r="B76" s="116" t="s">
        <v>477</v>
      </c>
      <c r="C76" s="117"/>
      <c r="D76" s="105"/>
      <c r="E76" s="113"/>
      <c r="F76" s="108"/>
      <c r="G76" s="108"/>
      <c r="H76" s="108"/>
      <c r="I76" s="108"/>
      <c r="J76" s="79"/>
    </row>
    <row r="77" spans="1:10">
      <c r="B77" s="105"/>
      <c r="C77" s="109"/>
      <c r="D77" s="105"/>
      <c r="E77" s="113"/>
      <c r="F77" s="108"/>
      <c r="G77" s="108"/>
      <c r="H77" s="108"/>
      <c r="I77" s="108"/>
      <c r="J77" s="79"/>
    </row>
    <row r="78" spans="1:10">
      <c r="B78" s="118" t="s">
        <v>478</v>
      </c>
      <c r="C78" s="106">
        <v>132</v>
      </c>
      <c r="D78" s="105"/>
      <c r="E78" s="113">
        <v>45</v>
      </c>
      <c r="F78" s="108">
        <f>ROUND(+'2005 Stlgt Rates'!F78*(1+$C$3),2)</f>
        <v>6.33</v>
      </c>
      <c r="G78" s="108">
        <f>ROUND(+'2005 Stlgt Rates'!G78*(1+$C$3),2)</f>
        <v>2.35</v>
      </c>
      <c r="H78" s="108">
        <f>+I78-F78-G78</f>
        <v>5.5300000000000011</v>
      </c>
      <c r="I78" s="108">
        <f>ROUND(+'2005 Stlgt Rates'!I78*(1+$C$3),2)</f>
        <v>14.21</v>
      </c>
      <c r="J78" s="79"/>
    </row>
    <row r="79" spans="1:10">
      <c r="B79" s="118" t="s">
        <v>479</v>
      </c>
      <c r="C79" s="106">
        <v>130</v>
      </c>
      <c r="D79" s="105"/>
      <c r="E79" s="113">
        <v>60</v>
      </c>
      <c r="F79" s="108">
        <f>ROUND(+'2005 Stlgt Rates'!F79*(1+$C$3),2)</f>
        <v>8.4700000000000006</v>
      </c>
      <c r="G79" s="108">
        <f>ROUND(+'2005 Stlgt Rates'!G79*(1+$C$3),2)</f>
        <v>2.35</v>
      </c>
      <c r="H79" s="108">
        <f>+I79-F79-G79</f>
        <v>5.5300000000000011</v>
      </c>
      <c r="I79" s="108">
        <f>ROUND(+'2005 Stlgt Rates'!I79*(1+$C$3),2)</f>
        <v>16.350000000000001</v>
      </c>
      <c r="J79" s="79"/>
    </row>
    <row r="80" spans="1:10">
      <c r="B80" s="118" t="s">
        <v>480</v>
      </c>
      <c r="C80" s="106">
        <v>131</v>
      </c>
      <c r="D80" s="105"/>
      <c r="E80" s="113">
        <v>80</v>
      </c>
      <c r="F80" s="108">
        <f>ROUND(+'2005 Stlgt Rates'!F80*(1+$C$3),2)</f>
        <v>11.3</v>
      </c>
      <c r="G80" s="108">
        <f>ROUND(+'2005 Stlgt Rates'!G80*(1+$C$3),2)</f>
        <v>2.35</v>
      </c>
      <c r="H80" s="108">
        <f>+I80-F80-G80</f>
        <v>5.5200000000000014</v>
      </c>
      <c r="I80" s="108">
        <f>ROUND(+'2005 Stlgt Rates'!I80*(1+$C$3),2)</f>
        <v>19.170000000000002</v>
      </c>
      <c r="J80" s="79"/>
    </row>
    <row r="81" spans="1:10">
      <c r="B81" s="118" t="s">
        <v>480</v>
      </c>
      <c r="C81" s="106">
        <v>231</v>
      </c>
      <c r="D81" s="105"/>
      <c r="E81" s="113">
        <v>80</v>
      </c>
      <c r="F81" s="108">
        <f>ROUND(+'2005 Stlgt Rates'!F81*(1+$C$3),2)</f>
        <v>11.29</v>
      </c>
      <c r="G81" s="108">
        <f>ROUND(+'2005 Stlgt Rates'!G81*(1+$C$3),2)</f>
        <v>2.35</v>
      </c>
      <c r="H81" s="108">
        <f>+I81-F81-G81</f>
        <v>-9.9999999999984546E-3</v>
      </c>
      <c r="I81" s="108">
        <f>ROUND(+'2005 Stlgt Rates'!I81*(1+$C$3),2)</f>
        <v>13.63</v>
      </c>
      <c r="J81" s="79" t="s">
        <v>457</v>
      </c>
    </row>
    <row r="82" spans="1:10">
      <c r="B82" s="105"/>
      <c r="C82" s="109"/>
      <c r="D82" s="105"/>
      <c r="E82" s="113"/>
      <c r="F82" s="108"/>
      <c r="G82" s="108"/>
      <c r="H82" s="108"/>
      <c r="I82" s="108"/>
      <c r="J82" s="79"/>
    </row>
    <row r="83" spans="1:10">
      <c r="A83" s="75" t="s">
        <v>481</v>
      </c>
      <c r="B83" s="110" t="s">
        <v>482</v>
      </c>
      <c r="C83" s="111"/>
      <c r="D83" s="105"/>
      <c r="E83" s="113"/>
      <c r="F83" s="108"/>
      <c r="G83" s="108"/>
      <c r="H83" s="108"/>
      <c r="I83" s="108"/>
      <c r="J83" s="79"/>
    </row>
    <row r="84" spans="1:10">
      <c r="B84" s="105"/>
      <c r="C84" s="109"/>
      <c r="D84" s="105"/>
      <c r="E84" s="113"/>
      <c r="F84" s="108"/>
      <c r="G84" s="108"/>
      <c r="H84" s="108"/>
      <c r="I84" s="108"/>
      <c r="J84" s="79"/>
    </row>
    <row r="85" spans="1:10">
      <c r="B85" s="116" t="s">
        <v>477</v>
      </c>
      <c r="C85" s="117"/>
      <c r="D85" s="105"/>
      <c r="E85" s="113"/>
      <c r="F85" s="108"/>
      <c r="G85" s="108"/>
      <c r="H85" s="108"/>
      <c r="I85" s="108"/>
      <c r="J85" s="79"/>
    </row>
    <row r="86" spans="1:10">
      <c r="B86" s="105"/>
      <c r="C86" s="109"/>
      <c r="D86" s="105"/>
      <c r="E86" s="113"/>
      <c r="F86" s="108"/>
      <c r="G86" s="108"/>
      <c r="H86" s="108"/>
      <c r="I86" s="108"/>
      <c r="J86" s="79"/>
    </row>
    <row r="87" spans="1:10">
      <c r="B87" s="118" t="s">
        <v>483</v>
      </c>
      <c r="C87" s="106">
        <v>123</v>
      </c>
      <c r="D87" s="105"/>
      <c r="E87" s="113">
        <v>32</v>
      </c>
      <c r="F87" s="108">
        <f>ROUND(+'2005 Stlgt Rates'!F87*(1+$C$3),2)</f>
        <v>4.53</v>
      </c>
      <c r="G87" s="108">
        <f>ROUND(+'2005 Stlgt Rates'!G87*(1+$C$3),2)</f>
        <v>0.93</v>
      </c>
      <c r="H87" s="108">
        <f t="shared" ref="H87:H95" si="2">+I87-F87-G87</f>
        <v>5.53</v>
      </c>
      <c r="I87" s="108">
        <f>ROUND(+'2005 Stlgt Rates'!I87*(1+$C$3),2)</f>
        <v>10.99</v>
      </c>
      <c r="J87" s="79"/>
    </row>
    <row r="88" spans="1:10">
      <c r="B88" s="118" t="s">
        <v>483</v>
      </c>
      <c r="C88" s="106">
        <v>222</v>
      </c>
      <c r="D88" s="105"/>
      <c r="E88" s="113">
        <v>32</v>
      </c>
      <c r="F88" s="108">
        <f>ROUND(+'2005 Stlgt Rates'!F88*(1+$C$3),2)</f>
        <v>4.5199999999999996</v>
      </c>
      <c r="G88" s="108">
        <f>ROUND(+'2005 Stlgt Rates'!G88*(1+$C$3),2)</f>
        <v>0.93</v>
      </c>
      <c r="H88" s="108">
        <f t="shared" si="2"/>
        <v>0</v>
      </c>
      <c r="I88" s="108">
        <f>ROUND(+'2005 Stlgt Rates'!I88*(1+$C$3),2)</f>
        <v>5.45</v>
      </c>
      <c r="J88" s="79" t="s">
        <v>457</v>
      </c>
    </row>
    <row r="89" spans="1:10">
      <c r="B89" s="118" t="s">
        <v>2</v>
      </c>
      <c r="C89" s="106">
        <v>124</v>
      </c>
      <c r="D89" s="105"/>
      <c r="E89" s="113">
        <v>45</v>
      </c>
      <c r="F89" s="108">
        <f>ROUND(+'2005 Stlgt Rates'!F89*(1+$C$3),2)</f>
        <v>6.36</v>
      </c>
      <c r="G89" s="108">
        <f>ROUND(+'2005 Stlgt Rates'!G89*(1+$C$3),2)</f>
        <v>0.93</v>
      </c>
      <c r="H89" s="108">
        <f t="shared" si="2"/>
        <v>5.53</v>
      </c>
      <c r="I89" s="108">
        <f>ROUND(+'2005 Stlgt Rates'!I89*(1+$C$3),2)</f>
        <v>12.82</v>
      </c>
      <c r="J89" s="79"/>
    </row>
    <row r="90" spans="1:10">
      <c r="B90" s="118" t="s">
        <v>2</v>
      </c>
      <c r="C90" s="106">
        <v>223</v>
      </c>
      <c r="D90" s="105"/>
      <c r="E90" s="113">
        <v>45</v>
      </c>
      <c r="F90" s="108">
        <f>ROUND(+'2005 Stlgt Rates'!F90*(1+$C$3),2)</f>
        <v>6.34</v>
      </c>
      <c r="G90" s="108">
        <f>ROUND(+'2005 Stlgt Rates'!G90*(1+$C$3),2)</f>
        <v>0.93</v>
      </c>
      <c r="H90" s="108">
        <f t="shared" si="2"/>
        <v>1.0000000000000342E-2</v>
      </c>
      <c r="I90" s="108">
        <f>ROUND(+'2005 Stlgt Rates'!I90*(1+$C$3),2)</f>
        <v>7.28</v>
      </c>
      <c r="J90" s="79" t="s">
        <v>457</v>
      </c>
    </row>
    <row r="91" spans="1:10">
      <c r="B91" s="118" t="s">
        <v>484</v>
      </c>
      <c r="C91" s="106">
        <v>125</v>
      </c>
      <c r="D91" s="105"/>
      <c r="E91" s="113">
        <v>65</v>
      </c>
      <c r="F91" s="108">
        <f>ROUND(+'2005 Stlgt Rates'!F91*(1+$C$3),2)</f>
        <v>9.19</v>
      </c>
      <c r="G91" s="108">
        <f>ROUND(+'2005 Stlgt Rates'!G91*(1+$C$3),2)</f>
        <v>0.93</v>
      </c>
      <c r="H91" s="108">
        <f t="shared" si="2"/>
        <v>5.5400000000000009</v>
      </c>
      <c r="I91" s="108">
        <f>ROUND(+'2005 Stlgt Rates'!I91*(1+$C$3),2)</f>
        <v>15.66</v>
      </c>
      <c r="J91" s="79"/>
    </row>
    <row r="92" spans="1:10">
      <c r="B92" s="118" t="s">
        <v>484</v>
      </c>
      <c r="C92" s="106">
        <v>224</v>
      </c>
      <c r="D92" s="105"/>
      <c r="E92" s="113">
        <v>65</v>
      </c>
      <c r="F92" s="108">
        <f>ROUND(+'2005 Stlgt Rates'!F92*(1+$C$3),2)</f>
        <v>9.17</v>
      </c>
      <c r="G92" s="108">
        <f>ROUND(+'2005 Stlgt Rates'!G92*(1+$C$3),2)</f>
        <v>0.93</v>
      </c>
      <c r="H92" s="108">
        <f t="shared" si="2"/>
        <v>0</v>
      </c>
      <c r="I92" s="108">
        <f>ROUND(+'2005 Stlgt Rates'!I92*(1+$C$3),2)</f>
        <v>10.1</v>
      </c>
      <c r="J92" s="79" t="s">
        <v>457</v>
      </c>
    </row>
    <row r="93" spans="1:10">
      <c r="B93" s="118" t="s">
        <v>485</v>
      </c>
      <c r="C93" s="106">
        <v>121</v>
      </c>
      <c r="D93" s="105"/>
      <c r="E93" s="113">
        <v>100</v>
      </c>
      <c r="F93" s="108">
        <f>ROUND(+'2005 Stlgt Rates'!F93*(1+$C$3),2)</f>
        <v>14.12</v>
      </c>
      <c r="G93" s="108">
        <f>ROUND(+'2005 Stlgt Rates'!G93*(1+$C$3),2)</f>
        <v>0.93</v>
      </c>
      <c r="H93" s="108">
        <f t="shared" si="2"/>
        <v>5.5400000000000009</v>
      </c>
      <c r="I93" s="108">
        <f>ROUND(+'2005 Stlgt Rates'!I93*(1+$C$3),2)</f>
        <v>20.59</v>
      </c>
      <c r="J93" s="79"/>
    </row>
    <row r="94" spans="1:10">
      <c r="B94" s="118" t="s">
        <v>485</v>
      </c>
      <c r="C94" s="106">
        <v>221</v>
      </c>
      <c r="D94" s="105"/>
      <c r="E94" s="113">
        <v>100</v>
      </c>
      <c r="F94" s="108">
        <f>ROUND(+'2005 Stlgt Rates'!F94*(1+$C$3),2)</f>
        <v>14.13</v>
      </c>
      <c r="G94" s="108">
        <f>ROUND(+'2005 Stlgt Rates'!G94*(1+$C$3),2)</f>
        <v>0.93</v>
      </c>
      <c r="H94" s="108">
        <f t="shared" si="2"/>
        <v>9.9999999999994538E-3</v>
      </c>
      <c r="I94" s="108">
        <f>ROUND(+'2005 Stlgt Rates'!I94*(1+$C$3),2)</f>
        <v>15.07</v>
      </c>
      <c r="J94" s="79" t="s">
        <v>457</v>
      </c>
    </row>
    <row r="95" spans="1:10">
      <c r="B95" s="118" t="s">
        <v>486</v>
      </c>
      <c r="C95" s="106">
        <v>122</v>
      </c>
      <c r="D95" s="105"/>
      <c r="E95" s="113">
        <v>150</v>
      </c>
      <c r="F95" s="108">
        <f>ROUND(+'2005 Stlgt Rates'!F95*(1+$C$3),2)</f>
        <v>21.15</v>
      </c>
      <c r="G95" s="108">
        <f>ROUND(+'2005 Stlgt Rates'!G95*(1+$C$3),2)</f>
        <v>0.93</v>
      </c>
      <c r="H95" s="108">
        <f t="shared" si="2"/>
        <v>5.5400000000000027</v>
      </c>
      <c r="I95" s="108">
        <f>ROUND(+'2005 Stlgt Rates'!I95*(1+$C$3),2)</f>
        <v>27.62</v>
      </c>
      <c r="J95" s="79"/>
    </row>
    <row r="96" spans="1:10">
      <c r="B96" s="105"/>
      <c r="C96" s="109"/>
      <c r="D96" s="105"/>
      <c r="E96" s="113"/>
      <c r="F96" s="108"/>
      <c r="G96" s="108"/>
      <c r="H96" s="108"/>
      <c r="I96" s="108"/>
      <c r="J96" s="79"/>
    </row>
    <row r="97" spans="1:10">
      <c r="A97" s="75" t="s">
        <v>487</v>
      </c>
      <c r="B97" s="110" t="s">
        <v>488</v>
      </c>
      <c r="C97" s="111"/>
      <c r="D97" s="105"/>
      <c r="E97" s="113"/>
      <c r="F97" s="108"/>
      <c r="G97" s="108"/>
      <c r="H97" s="108"/>
      <c r="I97" s="108"/>
      <c r="J97" s="79"/>
    </row>
    <row r="98" spans="1:10">
      <c r="B98" s="105"/>
      <c r="C98" s="109"/>
      <c r="D98" s="105"/>
      <c r="E98" s="113"/>
      <c r="F98" s="108"/>
      <c r="G98" s="108"/>
      <c r="H98" s="108"/>
      <c r="I98" s="108"/>
      <c r="J98" s="79"/>
    </row>
    <row r="99" spans="1:10">
      <c r="B99" s="116" t="s">
        <v>477</v>
      </c>
      <c r="C99" s="117"/>
      <c r="D99" s="105"/>
      <c r="E99" s="113"/>
      <c r="F99" s="108"/>
      <c r="G99" s="108"/>
      <c r="H99" s="108"/>
      <c r="I99" s="108"/>
      <c r="J99" s="79"/>
    </row>
    <row r="100" spans="1:10">
      <c r="B100" s="105"/>
      <c r="C100" s="109"/>
      <c r="D100" s="105"/>
      <c r="E100" s="113"/>
      <c r="F100" s="108"/>
      <c r="G100" s="108"/>
      <c r="H100" s="108"/>
      <c r="I100" s="108"/>
      <c r="J100" s="79"/>
    </row>
    <row r="101" spans="1:10">
      <c r="B101" s="118" t="s">
        <v>489</v>
      </c>
      <c r="C101" s="106">
        <v>140</v>
      </c>
      <c r="D101" s="105"/>
      <c r="E101" s="113">
        <v>150</v>
      </c>
      <c r="F101" s="108">
        <f>ROUND(+'2005 Stlgt Rates'!F101*(1+$C$3),2)</f>
        <v>21.18</v>
      </c>
      <c r="G101" s="108">
        <f>ROUND(+'2005 Stlgt Rates'!G101*(1+$C$3),2)</f>
        <v>2.76</v>
      </c>
      <c r="H101" s="108">
        <f>+I101-F101-G101</f>
        <v>9.8800000000000008</v>
      </c>
      <c r="I101" s="108">
        <f>ROUND(+'2005 Stlgt Rates'!I101*(1+$C$3),2)</f>
        <v>33.82</v>
      </c>
      <c r="J101" s="79"/>
    </row>
    <row r="102" spans="1:10">
      <c r="B102" s="118" t="s">
        <v>490</v>
      </c>
      <c r="C102" s="106">
        <v>141</v>
      </c>
      <c r="D102" s="105"/>
      <c r="E102" s="113">
        <v>360</v>
      </c>
      <c r="F102" s="108">
        <f>ROUND(+'2005 Stlgt Rates'!F102*(1+$C$3),2)</f>
        <v>50.81</v>
      </c>
      <c r="G102" s="108">
        <f>ROUND(+'2005 Stlgt Rates'!G102*(1+$C$3),2)</f>
        <v>4.07</v>
      </c>
      <c r="H102" s="108">
        <f>+I102-F102-G102</f>
        <v>14.520000000000003</v>
      </c>
      <c r="I102" s="108">
        <f>ROUND(+'2005 Stlgt Rates'!I102*(1+$C$3),2)</f>
        <v>69.400000000000006</v>
      </c>
      <c r="J102" s="79"/>
    </row>
    <row r="103" spans="1:10">
      <c r="B103" s="118" t="s">
        <v>491</v>
      </c>
      <c r="C103" s="106">
        <v>142</v>
      </c>
      <c r="D103" s="105"/>
      <c r="E103" s="113">
        <v>100</v>
      </c>
      <c r="F103" s="108">
        <f>ROUND(+'2005 Stlgt Rates'!F103*(1+$C$3),2)</f>
        <v>10.79</v>
      </c>
      <c r="G103" s="108">
        <f>ROUND(+'2005 Stlgt Rates'!G103*(1+$C$3),2)</f>
        <v>2.76</v>
      </c>
      <c r="H103" s="108">
        <f>+I103-F103-G103</f>
        <v>9.8900000000000023</v>
      </c>
      <c r="I103" s="108">
        <f>ROUND(+'2005 Stlgt Rates'!I103*(1+$C$3),2)</f>
        <v>23.44</v>
      </c>
      <c r="J103" s="79"/>
    </row>
    <row r="104" spans="1:10">
      <c r="B104" s="118"/>
      <c r="C104" s="106"/>
      <c r="D104" s="105"/>
      <c r="E104" s="113"/>
      <c r="F104" s="107"/>
      <c r="G104" s="107"/>
      <c r="H104" s="107"/>
      <c r="I104" s="107"/>
      <c r="J104" s="79"/>
    </row>
    <row r="105" spans="1:10">
      <c r="A105" s="75" t="s">
        <v>492</v>
      </c>
      <c r="B105" s="110" t="s">
        <v>493</v>
      </c>
      <c r="C105" s="106"/>
      <c r="D105" s="105"/>
      <c r="E105" s="113"/>
      <c r="F105" s="107"/>
      <c r="G105" s="107"/>
      <c r="H105" s="107"/>
      <c r="I105" s="107"/>
      <c r="J105" s="79"/>
    </row>
    <row r="106" spans="1:10">
      <c r="B106" s="118"/>
      <c r="C106" s="106"/>
      <c r="D106" s="105"/>
      <c r="E106" s="113"/>
      <c r="F106" s="107"/>
      <c r="G106" s="107"/>
      <c r="H106" s="107"/>
      <c r="I106" s="107"/>
      <c r="J106" s="79"/>
    </row>
    <row r="107" spans="1:10">
      <c r="B107" s="116" t="s">
        <v>477</v>
      </c>
      <c r="C107" s="106"/>
      <c r="D107" s="105"/>
      <c r="E107" s="113"/>
      <c r="F107" s="107"/>
      <c r="G107" s="107"/>
      <c r="H107" s="107"/>
      <c r="I107" s="107"/>
      <c r="J107" s="79"/>
    </row>
    <row r="108" spans="1:10">
      <c r="B108" s="118"/>
      <c r="C108" s="106"/>
      <c r="D108" s="105"/>
      <c r="E108" s="113"/>
      <c r="F108" s="107"/>
      <c r="G108" s="107"/>
      <c r="H108" s="107"/>
      <c r="I108" s="107"/>
      <c r="J108" s="79"/>
    </row>
    <row r="109" spans="1:10">
      <c r="B109" s="119">
        <v>4.5999999999999996</v>
      </c>
      <c r="C109" s="106">
        <v>530</v>
      </c>
      <c r="D109" s="105"/>
      <c r="E109" s="113">
        <v>3</v>
      </c>
      <c r="F109" s="108">
        <f>ROUND(+'2005 Stlgt Rates'!F109*(1+$C$3),2)</f>
        <v>0.27</v>
      </c>
      <c r="G109" s="108">
        <f>ROUND(+'2005 Stlgt Rates'!G109*(1+$C$3),2)</f>
        <v>0</v>
      </c>
      <c r="H109" s="108">
        <f>+I109-F109-G109</f>
        <v>0</v>
      </c>
      <c r="I109" s="108">
        <v>0.27</v>
      </c>
      <c r="J109" s="79" t="s">
        <v>494</v>
      </c>
    </row>
    <row r="110" spans="1:10">
      <c r="B110" s="119">
        <v>7.5</v>
      </c>
      <c r="C110" s="106">
        <v>531</v>
      </c>
      <c r="D110" s="105"/>
      <c r="E110" s="113">
        <v>5</v>
      </c>
      <c r="F110" s="108">
        <f>ROUND(+'2005 Stlgt Rates'!F110*(1+$C$3),2)</f>
        <v>0.45</v>
      </c>
      <c r="G110" s="108">
        <f>ROUND(+'2005 Stlgt Rates'!G110*(1+$C$3),2)</f>
        <v>0</v>
      </c>
      <c r="H110" s="108">
        <f>+I110-F110-G110</f>
        <v>-1.0000000000000009E-2</v>
      </c>
      <c r="I110" s="108">
        <v>0.44</v>
      </c>
      <c r="J110" s="79" t="s">
        <v>495</v>
      </c>
    </row>
    <row r="111" spans="1:10">
      <c r="B111" s="118"/>
      <c r="C111" s="106"/>
      <c r="D111" s="105"/>
      <c r="E111" s="113"/>
      <c r="F111" s="107"/>
      <c r="G111" s="107"/>
      <c r="H111" s="107"/>
      <c r="I111" s="107"/>
      <c r="J111" s="79"/>
    </row>
    <row r="112" spans="1:10">
      <c r="B112" s="118"/>
      <c r="C112" s="106"/>
      <c r="D112" s="105"/>
      <c r="E112" s="113"/>
      <c r="F112" s="107"/>
      <c r="G112" s="107"/>
      <c r="H112" s="107"/>
      <c r="I112" s="107"/>
      <c r="J112" s="79"/>
    </row>
    <row r="113" spans="2:10">
      <c r="B113" s="86" t="s">
        <v>496</v>
      </c>
      <c r="C113" s="87" t="s">
        <v>497</v>
      </c>
      <c r="D113" s="88"/>
      <c r="E113" s="89"/>
      <c r="F113" s="90">
        <f>+'2005 Stlgt Rates'!F113*(1+$C$3)</f>
        <v>0.10961776000000001</v>
      </c>
      <c r="G113" s="91" t="s">
        <v>498</v>
      </c>
      <c r="H113" s="85"/>
      <c r="I113" s="85"/>
      <c r="J113" s="79"/>
    </row>
    <row r="114" spans="2:10">
      <c r="B114" s="83"/>
      <c r="C114" s="84"/>
      <c r="D114" s="79"/>
      <c r="E114" s="81"/>
      <c r="F114" s="85"/>
      <c r="G114" s="85"/>
      <c r="H114" s="85"/>
      <c r="I114" s="85"/>
      <c r="J114" s="79"/>
    </row>
    <row r="115" spans="2:10">
      <c r="B115" s="92" t="s">
        <v>499</v>
      </c>
      <c r="C115" s="93"/>
      <c r="D115" s="93"/>
      <c r="E115" s="93"/>
      <c r="J115" s="79"/>
    </row>
    <row r="116" spans="2:10">
      <c r="B116" s="93"/>
      <c r="C116" s="93"/>
      <c r="D116" s="93"/>
      <c r="E116" s="93"/>
      <c r="J116" s="79"/>
    </row>
    <row r="117" spans="2:10">
      <c r="B117" s="93" t="s">
        <v>450</v>
      </c>
      <c r="C117" s="93"/>
      <c r="D117" s="93"/>
      <c r="E117" s="93"/>
      <c r="J117" s="79"/>
    </row>
    <row r="118" spans="2:10">
      <c r="B118" s="93"/>
      <c r="C118" s="93"/>
      <c r="D118" s="93"/>
      <c r="E118" s="93"/>
      <c r="J118" s="79"/>
    </row>
    <row r="119" spans="2:10">
      <c r="B119" s="93" t="s">
        <v>451</v>
      </c>
      <c r="C119" s="94" t="s">
        <v>500</v>
      </c>
      <c r="D119" s="93"/>
      <c r="E119" s="93">
        <v>97</v>
      </c>
      <c r="F119" s="95">
        <f>+'2005 Stlgt Rates'!F119*(1+$C$3)</f>
        <v>13.688639999999999</v>
      </c>
      <c r="G119" s="95">
        <f>+'2005 Stlgt Rates'!G119*(1+$C$3)</f>
        <v>0</v>
      </c>
      <c r="H119" s="95">
        <f>+I119-F119-G119</f>
        <v>0</v>
      </c>
      <c r="I119" s="95">
        <f>+'2005 Stlgt Rates'!I119*(1+$C$3)</f>
        <v>13.688639999999999</v>
      </c>
      <c r="J119" s="79"/>
    </row>
    <row r="120" spans="2:10">
      <c r="B120" s="93"/>
      <c r="C120" s="96"/>
      <c r="D120" s="93"/>
      <c r="E120" s="93"/>
      <c r="F120" s="77"/>
      <c r="G120" s="77"/>
      <c r="H120" s="77"/>
      <c r="I120" s="77"/>
      <c r="J120" s="79"/>
    </row>
    <row r="121" spans="2:10">
      <c r="B121" s="93" t="s">
        <v>454</v>
      </c>
      <c r="C121" s="96"/>
      <c r="D121" s="93"/>
      <c r="E121" s="93"/>
      <c r="F121" s="77"/>
      <c r="G121" s="77"/>
      <c r="H121" s="77"/>
      <c r="I121" s="77"/>
      <c r="J121" s="79"/>
    </row>
    <row r="122" spans="2:10">
      <c r="B122" s="93"/>
      <c r="C122" s="96"/>
      <c r="D122" s="93"/>
      <c r="E122" s="93"/>
      <c r="F122" s="77"/>
      <c r="G122" s="77"/>
      <c r="H122" s="77"/>
      <c r="I122" s="77"/>
      <c r="J122" s="79"/>
    </row>
    <row r="123" spans="2:10">
      <c r="B123" s="93" t="s">
        <v>456</v>
      </c>
      <c r="C123" s="96">
        <v>301</v>
      </c>
      <c r="D123" s="93"/>
      <c r="E123" s="93">
        <v>52</v>
      </c>
      <c r="F123" s="98">
        <f>+'2005 Stlgt Rates'!F123*(1+$C$3)-0.01</f>
        <v>5.5958240000000004</v>
      </c>
      <c r="G123" s="97">
        <f>+'2005 Stlgt Rates'!G123*(1+$C$3)</f>
        <v>0</v>
      </c>
      <c r="H123" s="97">
        <f>+'2005 Stlgt Rates'!H123*(1+$C$3)</f>
        <v>0</v>
      </c>
      <c r="I123" s="97">
        <f t="shared" ref="I123:I128" si="3">SUM(F123:H123)</f>
        <v>5.5958240000000004</v>
      </c>
      <c r="J123" s="79"/>
    </row>
    <row r="124" spans="2:10">
      <c r="B124" s="93" t="s">
        <v>458</v>
      </c>
      <c r="C124" s="96">
        <v>302</v>
      </c>
      <c r="D124" s="93"/>
      <c r="E124" s="93">
        <v>69</v>
      </c>
      <c r="F124" s="97">
        <f>+'2005 Stlgt Rates'!F124*(1+$C$3)</f>
        <v>7.4309760000000002</v>
      </c>
      <c r="G124" s="97">
        <f>+'2005 Stlgt Rates'!G124*(1+$C$3)</f>
        <v>0</v>
      </c>
      <c r="H124" s="97">
        <f>+'2005 Stlgt Rates'!H124*(1+$C$3)</f>
        <v>0</v>
      </c>
      <c r="I124" s="97">
        <f t="shared" si="3"/>
        <v>7.4309760000000002</v>
      </c>
      <c r="J124" s="79"/>
    </row>
    <row r="125" spans="2:10">
      <c r="B125" s="93" t="s">
        <v>459</v>
      </c>
      <c r="C125" s="96">
        <v>303</v>
      </c>
      <c r="D125" s="93"/>
      <c r="E125" s="93">
        <v>97</v>
      </c>
      <c r="F125" s="97">
        <f>+'2005 Stlgt Rates'!F125*(1+$C$3)</f>
        <v>10.462032000000001</v>
      </c>
      <c r="G125" s="97">
        <f>+'2005 Stlgt Rates'!G125*(1+$C$3)</f>
        <v>0</v>
      </c>
      <c r="H125" s="97">
        <f>+'2005 Stlgt Rates'!H125*(1+$C$3)</f>
        <v>0</v>
      </c>
      <c r="I125" s="97">
        <f t="shared" si="3"/>
        <v>10.462032000000001</v>
      </c>
      <c r="J125" s="79"/>
    </row>
    <row r="126" spans="2:10">
      <c r="B126" s="93" t="s">
        <v>461</v>
      </c>
      <c r="C126" s="96">
        <v>304</v>
      </c>
      <c r="D126" s="93"/>
      <c r="E126" s="93">
        <v>154</v>
      </c>
      <c r="F126" s="97">
        <f>+'2005 Stlgt Rates'!F126*(1+$C$3)</f>
        <v>16.611055999999998</v>
      </c>
      <c r="G126" s="97">
        <f>+'2005 Stlgt Rates'!G126*(1+$C$3)</f>
        <v>0</v>
      </c>
      <c r="H126" s="97">
        <f>+'2005 Stlgt Rates'!H126*(1+$C$3)</f>
        <v>0</v>
      </c>
      <c r="I126" s="97">
        <f t="shared" si="3"/>
        <v>16.611055999999998</v>
      </c>
      <c r="J126" s="79"/>
    </row>
    <row r="127" spans="2:10">
      <c r="B127" s="93" t="s">
        <v>462</v>
      </c>
      <c r="C127" s="96">
        <v>305</v>
      </c>
      <c r="D127" s="93"/>
      <c r="E127" s="93">
        <v>260</v>
      </c>
      <c r="F127" s="98">
        <f>+'2005 Stlgt Rates'!F127*(1+$C$3)-0.01</f>
        <v>28.040848</v>
      </c>
      <c r="G127" s="97">
        <f>+'2005 Stlgt Rates'!G127*(1+$C$3)</f>
        <v>0</v>
      </c>
      <c r="H127" s="97">
        <f>+'2005 Stlgt Rates'!H127*(1+$C$3)</f>
        <v>0</v>
      </c>
      <c r="I127" s="97">
        <f t="shared" si="3"/>
        <v>28.040848</v>
      </c>
      <c r="J127" s="79"/>
    </row>
    <row r="128" spans="2:10">
      <c r="B128" s="93" t="s">
        <v>463</v>
      </c>
      <c r="C128" s="96">
        <v>306</v>
      </c>
      <c r="D128" s="93"/>
      <c r="E128" s="93">
        <v>363</v>
      </c>
      <c r="F128" s="97">
        <f>+'2005 Stlgt Rates'!F128*(1+$C$3)</f>
        <v>39.164719999999996</v>
      </c>
      <c r="G128" s="97">
        <f>+'2005 Stlgt Rates'!G128*(1+$C$3)</f>
        <v>0</v>
      </c>
      <c r="H128" s="97">
        <f>+'2005 Stlgt Rates'!H128*(1+$C$3)</f>
        <v>0</v>
      </c>
      <c r="I128" s="97">
        <f t="shared" si="3"/>
        <v>39.164719999999996</v>
      </c>
      <c r="J128" s="79"/>
    </row>
    <row r="129" spans="2:10">
      <c r="B129" s="93"/>
      <c r="C129" s="96"/>
      <c r="D129" s="93"/>
      <c r="E129" s="93"/>
      <c r="F129" s="77"/>
      <c r="G129" s="77"/>
      <c r="H129" s="77"/>
      <c r="I129" s="77"/>
      <c r="J129" s="79"/>
    </row>
    <row r="130" spans="2:10">
      <c r="B130" s="93" t="s">
        <v>465</v>
      </c>
      <c r="C130" s="96"/>
      <c r="D130" s="93"/>
      <c r="E130" s="93"/>
      <c r="F130" s="77"/>
      <c r="G130" s="77"/>
      <c r="H130" s="77"/>
      <c r="I130" s="77"/>
      <c r="J130" s="79"/>
    </row>
    <row r="131" spans="2:10">
      <c r="B131" s="93"/>
      <c r="C131" s="96"/>
      <c r="D131" s="93"/>
      <c r="E131" s="93"/>
      <c r="F131" s="77"/>
      <c r="G131" s="77"/>
      <c r="H131" s="77"/>
      <c r="I131" s="77"/>
      <c r="J131" s="79"/>
    </row>
    <row r="132" spans="2:10">
      <c r="B132" s="99" t="s">
        <v>466</v>
      </c>
      <c r="C132" s="96"/>
      <c r="D132" s="93"/>
      <c r="E132" s="93"/>
      <c r="F132" s="77"/>
      <c r="G132" s="77"/>
      <c r="H132" s="77"/>
      <c r="I132" s="77"/>
    </row>
    <row r="133" spans="2:10">
      <c r="B133" s="93"/>
      <c r="C133" s="96"/>
      <c r="D133" s="93"/>
      <c r="E133" s="93"/>
      <c r="F133" s="77"/>
      <c r="G133" s="77"/>
      <c r="H133" s="77"/>
      <c r="I133" s="77"/>
    </row>
    <row r="134" spans="2:10">
      <c r="B134" s="93" t="s">
        <v>501</v>
      </c>
      <c r="C134" s="96">
        <v>330</v>
      </c>
      <c r="D134" s="96">
        <v>4</v>
      </c>
      <c r="E134" s="93">
        <v>47</v>
      </c>
      <c r="F134" s="98">
        <f>+'2005 Stlgt Rates'!F134*(1+$C$3)+0.01</f>
        <v>5.0617600000000005</v>
      </c>
      <c r="G134" s="97">
        <f>+'2005 Stlgt Rates'!G134*(1+$C$3)</f>
        <v>0</v>
      </c>
      <c r="H134" s="97">
        <f>+'2005 Stlgt Rates'!H134*(1+$C$3)</f>
        <v>0</v>
      </c>
      <c r="I134" s="97">
        <f>SUM(F134:H134)</f>
        <v>5.0617600000000005</v>
      </c>
    </row>
    <row r="135" spans="2:10">
      <c r="B135" s="93"/>
      <c r="C135" s="96"/>
      <c r="D135" s="93"/>
      <c r="E135" s="93"/>
      <c r="F135" s="77"/>
      <c r="G135" s="77"/>
      <c r="H135" s="77"/>
      <c r="I135" s="77"/>
    </row>
    <row r="136" spans="2:10">
      <c r="B136" s="93" t="s">
        <v>472</v>
      </c>
      <c r="C136" s="96"/>
      <c r="D136" s="93"/>
      <c r="E136" s="93"/>
      <c r="F136" s="77"/>
      <c r="G136" s="77"/>
      <c r="H136" s="77"/>
      <c r="I136" s="77"/>
    </row>
    <row r="137" spans="2:10">
      <c r="B137" s="93"/>
      <c r="C137" s="96"/>
      <c r="D137" s="93"/>
      <c r="E137" s="93"/>
      <c r="F137" s="77"/>
      <c r="G137" s="77"/>
      <c r="H137" s="77"/>
      <c r="I137" s="77"/>
    </row>
    <row r="138" spans="2:10">
      <c r="B138" s="99" t="s">
        <v>466</v>
      </c>
      <c r="C138" s="96"/>
      <c r="D138" s="93"/>
      <c r="E138" s="93"/>
      <c r="F138" s="77"/>
      <c r="G138" s="77"/>
      <c r="H138" s="77"/>
      <c r="I138" s="77"/>
    </row>
    <row r="139" spans="2:10">
      <c r="B139" s="93"/>
      <c r="C139" s="96"/>
      <c r="D139" s="93"/>
      <c r="E139" s="93"/>
      <c r="F139" s="77"/>
      <c r="G139" s="77"/>
      <c r="H139" s="77"/>
      <c r="I139" s="77"/>
    </row>
    <row r="140" spans="2:10">
      <c r="B140" s="100" t="s">
        <v>470</v>
      </c>
      <c r="C140" s="96">
        <v>314</v>
      </c>
      <c r="D140" s="96">
        <v>1</v>
      </c>
      <c r="E140" s="93">
        <v>47</v>
      </c>
      <c r="F140" s="97">
        <f>+'2005 Stlgt Rates'!F140*(1+$C$3)</f>
        <v>5.0734880000000002</v>
      </c>
      <c r="G140" s="97">
        <f>+'2005 Stlgt Rates'!G140*(1+$C$3)</f>
        <v>0</v>
      </c>
      <c r="H140" s="97">
        <f>+'2005 Stlgt Rates'!H140*(1+$C$3)</f>
        <v>0</v>
      </c>
      <c r="I140" s="97">
        <f>+'2005 Stlgt Rates'!I140*(1+$C$3)</f>
        <v>5.0734880000000002</v>
      </c>
    </row>
    <row r="141" spans="2:10">
      <c r="B141" s="100" t="s">
        <v>469</v>
      </c>
      <c r="C141" s="96">
        <v>315</v>
      </c>
      <c r="D141" s="96">
        <v>1</v>
      </c>
      <c r="E141" s="93">
        <v>60</v>
      </c>
      <c r="F141" s="97">
        <f>+'2005 Stlgt Rates'!F141*(1+$C$3)</f>
        <v>6.4749439999999998</v>
      </c>
      <c r="G141" s="97">
        <f>+'2005 Stlgt Rates'!G141*(1+$C$3)</f>
        <v>0</v>
      </c>
      <c r="H141" s="97">
        <f>+'2005 Stlgt Rates'!H141*(1+$C$3)</f>
        <v>0</v>
      </c>
      <c r="I141" s="97">
        <f>+'2005 Stlgt Rates'!I141*(1+$C$3)</f>
        <v>6.4749439999999998</v>
      </c>
    </row>
    <row r="142" spans="2:10">
      <c r="B142" s="93"/>
      <c r="C142" s="96"/>
      <c r="D142" s="93"/>
      <c r="E142" s="93"/>
      <c r="F142" s="77"/>
      <c r="G142" s="77"/>
      <c r="H142" s="77"/>
      <c r="I142" s="77"/>
    </row>
    <row r="143" spans="2:10">
      <c r="B143" s="93" t="s">
        <v>476</v>
      </c>
      <c r="C143" s="96"/>
      <c r="D143" s="93"/>
      <c r="E143" s="93"/>
      <c r="F143" s="77"/>
      <c r="G143" s="77"/>
      <c r="H143" s="77"/>
      <c r="I143" s="77"/>
    </row>
    <row r="144" spans="2:10">
      <c r="B144" s="93"/>
      <c r="C144" s="96"/>
      <c r="D144" s="93"/>
      <c r="E144" s="93"/>
      <c r="F144" s="77"/>
      <c r="G144" s="77"/>
      <c r="H144" s="77"/>
      <c r="I144" s="77"/>
    </row>
    <row r="145" spans="2:9">
      <c r="B145" s="99" t="s">
        <v>477</v>
      </c>
      <c r="C145" s="96"/>
      <c r="D145" s="93"/>
      <c r="E145" s="93"/>
      <c r="F145" s="77"/>
      <c r="G145" s="77"/>
      <c r="H145" s="77"/>
      <c r="I145" s="77"/>
    </row>
    <row r="146" spans="2:9">
      <c r="B146" s="93"/>
      <c r="C146" s="96"/>
      <c r="D146" s="93"/>
      <c r="E146" s="93"/>
      <c r="F146" s="77"/>
      <c r="G146" s="77"/>
      <c r="H146" s="77"/>
      <c r="I146" s="77"/>
    </row>
    <row r="147" spans="2:9">
      <c r="B147" s="100" t="s">
        <v>480</v>
      </c>
      <c r="C147" s="96">
        <v>331</v>
      </c>
      <c r="D147" s="93"/>
      <c r="E147" s="93">
        <v>80</v>
      </c>
      <c r="F147" s="97">
        <f>+'2005 Stlgt Rates'!F147*(1+$C$3)</f>
        <v>8.6260159999999999</v>
      </c>
      <c r="G147" s="97">
        <f>+'2005 Stlgt Rates'!G147*(1+$C$3)</f>
        <v>0</v>
      </c>
      <c r="H147" s="97">
        <f>+'2005 Stlgt Rates'!H147*(1+$C$3)</f>
        <v>0</v>
      </c>
      <c r="I147" s="97">
        <f>+'2005 Stlgt Rates'!I147*(1+$C$3)</f>
        <v>8.6260159999999999</v>
      </c>
    </row>
    <row r="148" spans="2:9">
      <c r="B148" s="93"/>
      <c r="C148" s="96"/>
      <c r="D148" s="93"/>
      <c r="E148" s="93"/>
      <c r="F148" s="77"/>
      <c r="G148" s="77"/>
      <c r="H148" s="77"/>
      <c r="I148" s="77"/>
    </row>
    <row r="149" spans="2:9">
      <c r="B149" s="93" t="s">
        <v>482</v>
      </c>
      <c r="C149" s="96"/>
      <c r="D149" s="93"/>
      <c r="E149" s="93"/>
      <c r="F149" s="77"/>
      <c r="G149" s="77"/>
      <c r="H149" s="77"/>
      <c r="I149" s="77"/>
    </row>
    <row r="150" spans="2:9">
      <c r="B150" s="93"/>
      <c r="C150" s="96"/>
      <c r="D150" s="93"/>
      <c r="E150" s="93"/>
      <c r="F150" s="77"/>
      <c r="G150" s="77"/>
      <c r="H150" s="77"/>
      <c r="I150" s="77"/>
    </row>
    <row r="151" spans="2:9">
      <c r="B151" s="99" t="s">
        <v>477</v>
      </c>
      <c r="C151" s="96"/>
      <c r="D151" s="93"/>
      <c r="E151" s="93"/>
      <c r="F151" s="77"/>
      <c r="G151" s="77"/>
      <c r="H151" s="77"/>
      <c r="I151" s="77"/>
    </row>
    <row r="152" spans="2:9">
      <c r="B152" s="93"/>
      <c r="C152" s="96"/>
      <c r="D152" s="93"/>
      <c r="E152" s="93"/>
      <c r="F152" s="77"/>
      <c r="G152" s="77"/>
      <c r="H152" s="77"/>
      <c r="I152" s="77"/>
    </row>
    <row r="153" spans="2:9">
      <c r="B153" s="198">
        <v>1000</v>
      </c>
      <c r="C153" s="96">
        <v>452</v>
      </c>
      <c r="D153" s="93"/>
      <c r="E153" s="93">
        <v>363</v>
      </c>
      <c r="F153" s="97">
        <f>+'2005 Stlgt Rates'!F153*(1+$C$3)</f>
        <v>39.175584000000001</v>
      </c>
      <c r="G153" s="97">
        <f>+'2005 Stlgt Rates'!G153*(1+$C$3)</f>
        <v>4.2260960000000001</v>
      </c>
      <c r="H153" s="97">
        <f>+'2005 Stlgt Rates'!H153*(1+$C$3)</f>
        <v>17.903871999999996</v>
      </c>
      <c r="I153" s="97">
        <f>+'2005 Stlgt Rates'!I153*(1+$C$3)</f>
        <v>61.305551999999999</v>
      </c>
    </row>
    <row r="154" spans="2:9">
      <c r="B154" s="93"/>
      <c r="C154" s="96"/>
      <c r="D154" s="93"/>
      <c r="E154" s="93"/>
      <c r="F154" s="77"/>
      <c r="G154" s="77"/>
      <c r="H154" s="77"/>
      <c r="I154" s="77"/>
    </row>
    <row r="155" spans="2:9">
      <c r="B155" s="100" t="s">
        <v>502</v>
      </c>
      <c r="C155" s="96">
        <v>322</v>
      </c>
      <c r="D155" s="93"/>
      <c r="E155" s="93">
        <v>32</v>
      </c>
      <c r="F155" s="98">
        <f>+'2005 Stlgt Rates'!F155*(1+$C$3)+0.01</f>
        <v>3.4538879999999996</v>
      </c>
      <c r="G155" s="97">
        <f>+'2005 Stlgt Rates'!G155*(1+$C$3)</f>
        <v>0</v>
      </c>
      <c r="H155" s="97">
        <f>+'2005 Stlgt Rates'!H155*(1+$C$3)</f>
        <v>0</v>
      </c>
      <c r="I155" s="97">
        <f t="shared" ref="I155:I160" si="4">SUM(F155:H155)</f>
        <v>3.4538879999999996</v>
      </c>
    </row>
    <row r="156" spans="2:9">
      <c r="B156" s="100" t="s">
        <v>2</v>
      </c>
      <c r="C156" s="96">
        <v>323</v>
      </c>
      <c r="D156" s="93"/>
      <c r="E156" s="93">
        <v>45</v>
      </c>
      <c r="F156" s="97">
        <f>+'2005 Stlgt Rates'!F156*(1+$C$3)</f>
        <v>4.8562079999999996</v>
      </c>
      <c r="G156" s="97">
        <f>+'2005 Stlgt Rates'!G156*(1+$C$3)</f>
        <v>0</v>
      </c>
      <c r="H156" s="97">
        <f>+'2005 Stlgt Rates'!H156*(1+$C$3)</f>
        <v>0</v>
      </c>
      <c r="I156" s="97">
        <f t="shared" si="4"/>
        <v>4.8562079999999996</v>
      </c>
    </row>
    <row r="157" spans="2:9">
      <c r="B157" s="100" t="s">
        <v>484</v>
      </c>
      <c r="C157" s="96">
        <v>324</v>
      </c>
      <c r="D157" s="93"/>
      <c r="E157" s="93">
        <v>65</v>
      </c>
      <c r="F157" s="97">
        <f>+'2005 Stlgt Rates'!F157*(1+$C$3)</f>
        <v>7.0072800000000006</v>
      </c>
      <c r="G157" s="97">
        <f>+'2005 Stlgt Rates'!G157*(1+$C$3)</f>
        <v>0</v>
      </c>
      <c r="H157" s="97">
        <f>+'2005 Stlgt Rates'!H157*(1+$C$3)</f>
        <v>0</v>
      </c>
      <c r="I157" s="97">
        <f t="shared" si="4"/>
        <v>7.0072800000000006</v>
      </c>
    </row>
    <row r="158" spans="2:9">
      <c r="B158" s="100" t="s">
        <v>485</v>
      </c>
      <c r="C158" s="96">
        <v>321</v>
      </c>
      <c r="D158" s="93"/>
      <c r="E158" s="93">
        <v>100</v>
      </c>
      <c r="F158" s="97">
        <f>+'2005 Stlgt Rates'!F158*(1+$C$3)</f>
        <v>10.787952000000001</v>
      </c>
      <c r="G158" s="97">
        <f>+'2005 Stlgt Rates'!G158*(1+$C$3)</f>
        <v>0</v>
      </c>
      <c r="H158" s="97">
        <f>+'2005 Stlgt Rates'!H158*(1+$C$3)</f>
        <v>0</v>
      </c>
      <c r="I158" s="97">
        <f t="shared" si="4"/>
        <v>10.787952000000001</v>
      </c>
    </row>
    <row r="159" spans="2:9">
      <c r="B159" s="100" t="s">
        <v>486</v>
      </c>
      <c r="C159" s="96">
        <v>326</v>
      </c>
      <c r="D159" s="93"/>
      <c r="E159" s="93">
        <v>150</v>
      </c>
      <c r="F159" s="98">
        <f>+'2005 Stlgt Rates'!F159*(1+$C$3)-0.01</f>
        <v>16.166495999999999</v>
      </c>
      <c r="G159" s="97">
        <f>+'2005 Stlgt Rates'!G159*(1+$C$3)</f>
        <v>0</v>
      </c>
      <c r="H159" s="97">
        <f>+'2005 Stlgt Rates'!H159*(1+$C$3)</f>
        <v>0</v>
      </c>
      <c r="I159" s="97">
        <f t="shared" si="4"/>
        <v>16.166495999999999</v>
      </c>
    </row>
    <row r="160" spans="2:9">
      <c r="B160" s="101">
        <v>500</v>
      </c>
      <c r="C160" s="96">
        <v>327</v>
      </c>
      <c r="D160" s="93"/>
      <c r="E160" s="93">
        <v>183</v>
      </c>
      <c r="F160" s="97">
        <f>+'2005 Stlgt Rates'!F160*(1+$C$3)</f>
        <v>19.761616000000004</v>
      </c>
      <c r="G160" s="97">
        <f>+'2005 Stlgt Rates'!G160*(1+$C$3)</f>
        <v>0</v>
      </c>
      <c r="H160" s="97">
        <f>+'2005 Stlgt Rates'!H160*(1+$C$3)</f>
        <v>0</v>
      </c>
      <c r="I160" s="97">
        <f t="shared" si="4"/>
        <v>19.761616000000004</v>
      </c>
    </row>
    <row r="161" spans="2:9">
      <c r="B161" s="93"/>
      <c r="C161" s="96"/>
      <c r="D161" s="93"/>
      <c r="E161" s="93"/>
      <c r="F161" s="77"/>
      <c r="G161" s="77"/>
      <c r="H161" s="77"/>
      <c r="I161" s="77"/>
    </row>
    <row r="162" spans="2:9">
      <c r="B162" s="93" t="s">
        <v>488</v>
      </c>
      <c r="C162" s="96"/>
      <c r="D162" s="93"/>
      <c r="E162" s="93"/>
      <c r="F162" s="77"/>
      <c r="G162" s="77"/>
      <c r="H162" s="77"/>
      <c r="I162" s="77"/>
    </row>
    <row r="163" spans="2:9">
      <c r="B163" s="93"/>
      <c r="C163" s="96"/>
      <c r="D163" s="93"/>
      <c r="E163" s="93"/>
      <c r="F163" s="77"/>
      <c r="G163" s="77"/>
      <c r="H163" s="77"/>
      <c r="I163" s="77"/>
    </row>
    <row r="164" spans="2:9">
      <c r="B164" s="99" t="s">
        <v>477</v>
      </c>
      <c r="C164" s="96"/>
      <c r="D164" s="93"/>
      <c r="E164" s="93"/>
      <c r="F164" s="77"/>
      <c r="G164" s="77"/>
      <c r="H164" s="77"/>
      <c r="I164" s="77"/>
    </row>
    <row r="165" spans="2:9">
      <c r="B165" s="93"/>
      <c r="C165" s="96"/>
      <c r="D165" s="93"/>
      <c r="E165" s="93"/>
      <c r="F165" s="77"/>
      <c r="G165" s="77"/>
      <c r="H165" s="77"/>
      <c r="I165" s="77"/>
    </row>
    <row r="166" spans="2:9">
      <c r="B166" s="100" t="s">
        <v>484</v>
      </c>
      <c r="C166" s="96">
        <v>143</v>
      </c>
      <c r="D166" s="93"/>
      <c r="E166" s="93">
        <v>67</v>
      </c>
      <c r="F166" s="97">
        <f>+'2005 Stlgt Rates'!F166*(1+$C$3)</f>
        <v>7.2136959999999997</v>
      </c>
      <c r="G166" s="97">
        <f>+'2005 Stlgt Rates'!G166*(1+$C$3)</f>
        <v>2.7594560000000001</v>
      </c>
      <c r="H166" s="97">
        <f>+'2005 Stlgt Rates'!H166*(1+$C$3)</f>
        <v>9.886239999999999</v>
      </c>
      <c r="I166" s="97">
        <f>SUM(F166:H166)</f>
        <v>19.859392</v>
      </c>
    </row>
    <row r="167" spans="2:9">
      <c r="B167" s="93"/>
      <c r="C167" s="96"/>
      <c r="D167" s="93"/>
      <c r="E167" s="93"/>
      <c r="F167" s="77"/>
      <c r="G167" s="77"/>
      <c r="H167" s="77"/>
      <c r="I167" s="77"/>
    </row>
    <row r="168" spans="2:9">
      <c r="B168" s="100" t="s">
        <v>485</v>
      </c>
      <c r="C168" s="96">
        <v>343</v>
      </c>
      <c r="D168" s="93"/>
      <c r="E168" s="93">
        <v>100</v>
      </c>
      <c r="F168" s="97">
        <f>+'2005 Stlgt Rates'!F168*(1+$C$3)</f>
        <v>10.787952000000001</v>
      </c>
      <c r="G168" s="97">
        <f>+'2005 Stlgt Rates'!G168*(1+$C$3)</f>
        <v>0</v>
      </c>
      <c r="H168" s="97">
        <f>+'2005 Stlgt Rates'!H168*(1+$C$3)</f>
        <v>0</v>
      </c>
      <c r="I168" s="97">
        <f>SUM(F168:H168)</f>
        <v>10.787952000000001</v>
      </c>
    </row>
    <row r="169" spans="2:9">
      <c r="B169" s="100" t="s">
        <v>486</v>
      </c>
      <c r="C169" s="96">
        <v>342</v>
      </c>
      <c r="D169" s="93"/>
      <c r="E169" s="93">
        <v>150</v>
      </c>
      <c r="F169" s="98">
        <f>+'2005 Stlgt Rates'!F169*(1+$C$3)-0.01</f>
        <v>16.166495999999999</v>
      </c>
      <c r="G169" s="97">
        <f>+'2005 Stlgt Rates'!G169*(1+$C$3)</f>
        <v>0</v>
      </c>
      <c r="H169" s="97">
        <f>+'2005 Stlgt Rates'!H169*(1+$C$3)</f>
        <v>0</v>
      </c>
      <c r="I169" s="97">
        <f>SUM(F169:H169)</f>
        <v>16.166495999999999</v>
      </c>
    </row>
    <row r="170" spans="2:9">
      <c r="B170" s="100" t="s">
        <v>490</v>
      </c>
      <c r="C170" s="96">
        <v>341</v>
      </c>
      <c r="D170" s="93"/>
      <c r="E170" s="93">
        <v>360</v>
      </c>
      <c r="F170" s="98">
        <f>+'2005 Stlgt Rates'!F170*(1+$C$3)-0.01</f>
        <v>38.828800000000001</v>
      </c>
      <c r="G170" s="97">
        <f>+'2005 Stlgt Rates'!G170*(1+$C$3)</f>
        <v>0</v>
      </c>
      <c r="H170" s="97">
        <f>+'2005 Stlgt Rates'!H170*(1+$C$3)</f>
        <v>0</v>
      </c>
      <c r="I170" s="97">
        <f>SUM(F170:H170)</f>
        <v>38.828800000000001</v>
      </c>
    </row>
    <row r="171" spans="2:9">
      <c r="B171" s="101">
        <v>175</v>
      </c>
      <c r="C171" s="96">
        <v>344</v>
      </c>
      <c r="D171" s="93"/>
      <c r="E171" s="93">
        <v>75</v>
      </c>
      <c r="F171" s="97">
        <f>+'2005 Stlgt Rates'!F171*(1+$C$3)</f>
        <v>8.0936800000000009</v>
      </c>
      <c r="G171" s="97">
        <f>+'2005 Stlgt Rates'!G171*(1+$C$3)</f>
        <v>0</v>
      </c>
      <c r="H171" s="97">
        <f>+'2005 Stlgt Rates'!H171*(1+$C$3)</f>
        <v>0</v>
      </c>
      <c r="I171" s="97">
        <f>SUM(F171:H171)</f>
        <v>8.0936800000000009</v>
      </c>
    </row>
    <row r="172" spans="2:9">
      <c r="B172" s="101">
        <v>150</v>
      </c>
      <c r="C172" s="96">
        <v>345</v>
      </c>
      <c r="D172" s="93"/>
      <c r="E172" s="93">
        <v>67</v>
      </c>
      <c r="F172" s="97">
        <f>+'2005 Stlgt Rates'!F172*(1+$C$3)</f>
        <v>7.2136959999999997</v>
      </c>
      <c r="G172" s="97">
        <f>+'2005 Stlgt Rates'!G172*(1+$C$3)</f>
        <v>0</v>
      </c>
      <c r="H172" s="97">
        <f>+'2005 Stlgt Rates'!H172*(1+$C$3)</f>
        <v>0</v>
      </c>
      <c r="I172" s="97">
        <f>SUM(F172:H172)</f>
        <v>7.2136959999999997</v>
      </c>
    </row>
    <row r="173" spans="2:9" ht="15.75" thickBot="1"/>
    <row r="174" spans="2:9" ht="15.75" thickBot="1">
      <c r="B174" s="103" t="s">
        <v>503</v>
      </c>
      <c r="C174" s="104">
        <f>COUNT(C14:C172)</f>
        <v>78</v>
      </c>
    </row>
  </sheetData>
  <phoneticPr fontId="20" type="noConversion"/>
  <pageMargins left="0.75" right="0.75" top="1" bottom="1" header="0.5" footer="0.5"/>
  <pageSetup scale="90" fitToHeight="3" orientation="landscape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opLeftCell="A10" zoomScaleNormal="100" workbookViewId="0"/>
  </sheetViews>
  <sheetFormatPr defaultRowHeight="15"/>
  <cols>
    <col min="1" max="1" width="3" customWidth="1"/>
    <col min="2" max="2" width="19.77734375" customWidth="1"/>
    <col min="3" max="9" width="9.88671875" customWidth="1"/>
    <col min="10" max="10" width="18" customWidth="1"/>
  </cols>
  <sheetData>
    <row r="1" spans="1:10" ht="18">
      <c r="A1" s="65" t="s">
        <v>703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thickBot="1">
      <c r="A2" s="67"/>
      <c r="B2" s="66"/>
      <c r="C2" s="66"/>
      <c r="D2" s="66"/>
      <c r="E2" s="66"/>
      <c r="F2" s="66"/>
      <c r="G2" s="66"/>
      <c r="H2" s="66"/>
      <c r="I2" s="66"/>
      <c r="J2" s="66"/>
    </row>
    <row r="3" spans="1:10" ht="16.5" thickBot="1">
      <c r="A3" s="68" t="s">
        <v>440</v>
      </c>
      <c r="B3" s="105"/>
      <c r="C3" s="69">
        <v>7.4999999999999997E-2</v>
      </c>
    </row>
    <row r="4" spans="1:10" ht="18">
      <c r="A4" s="70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5.75">
      <c r="A5" s="71" t="s">
        <v>441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5.75">
      <c r="A6" s="71" t="s">
        <v>442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>
      <c r="B7" s="105"/>
      <c r="C7" s="105"/>
      <c r="D7" s="105"/>
      <c r="E7" s="105"/>
      <c r="F7" s="105"/>
      <c r="G7" s="105"/>
      <c r="H7" s="105"/>
      <c r="I7" s="105"/>
      <c r="J7" s="105"/>
    </row>
    <row r="8" spans="1:10">
      <c r="B8" s="105"/>
      <c r="C8" s="105"/>
      <c r="D8" s="105"/>
      <c r="E8" s="105"/>
      <c r="F8" s="105"/>
      <c r="G8" s="105"/>
      <c r="H8" s="105"/>
      <c r="I8" s="105"/>
      <c r="J8" s="105"/>
    </row>
    <row r="9" spans="1:10">
      <c r="B9" s="105"/>
      <c r="C9" s="72" t="s">
        <v>443</v>
      </c>
      <c r="D9" s="72" t="s">
        <v>444</v>
      </c>
      <c r="E9" s="72"/>
      <c r="F9" s="72" t="s">
        <v>445</v>
      </c>
      <c r="G9" s="72"/>
      <c r="H9" s="72"/>
      <c r="I9" s="72"/>
    </row>
    <row r="10" spans="1:10">
      <c r="B10" s="73" t="s">
        <v>9</v>
      </c>
      <c r="C10" s="73" t="s">
        <v>34</v>
      </c>
      <c r="D10" s="73" t="s">
        <v>446</v>
      </c>
      <c r="E10" s="74" t="s">
        <v>447</v>
      </c>
      <c r="F10" s="73" t="s">
        <v>448</v>
      </c>
      <c r="G10" s="73" t="s">
        <v>87</v>
      </c>
      <c r="H10" s="73" t="s">
        <v>88</v>
      </c>
      <c r="I10" s="73" t="s">
        <v>50</v>
      </c>
    </row>
    <row r="12" spans="1:10">
      <c r="A12" s="75" t="s">
        <v>449</v>
      </c>
      <c r="B12" s="76" t="s">
        <v>450</v>
      </c>
      <c r="C12" s="76"/>
    </row>
    <row r="14" spans="1:10">
      <c r="B14" s="105" t="s">
        <v>451</v>
      </c>
      <c r="C14" s="106" t="s">
        <v>0</v>
      </c>
      <c r="D14" s="105"/>
      <c r="E14" s="105">
        <v>97</v>
      </c>
      <c r="F14" s="107">
        <f>ROUND(+'2006 Stlgt Rates'!F14*(1+$C$3),2)</f>
        <v>14.72</v>
      </c>
      <c r="G14" s="107">
        <f>ROUND(+'2006 Stlgt Rates'!G14*(1+$C$3),2)</f>
        <v>1.25</v>
      </c>
      <c r="H14" s="107">
        <f>+I14-F14-G14</f>
        <v>4.0899999999999981</v>
      </c>
      <c r="I14" s="107">
        <f>ROUND(+'2006 Stlgt Rates'!I14*(1+$C$3),2)</f>
        <v>20.059999999999999</v>
      </c>
    </row>
    <row r="15" spans="1:10">
      <c r="B15" s="105" t="s">
        <v>452</v>
      </c>
      <c r="C15" s="106" t="s">
        <v>1</v>
      </c>
      <c r="D15" s="105"/>
      <c r="E15" s="105">
        <v>154</v>
      </c>
      <c r="F15" s="108">
        <f>ROUND(+'2006 Stlgt Rates'!F15*(1+$C$3),2)</f>
        <v>23.36</v>
      </c>
      <c r="G15" s="108">
        <f>ROUND(+'2006 Stlgt Rates'!G15*(1+$C$3),2)</f>
        <v>1.25</v>
      </c>
      <c r="H15" s="108">
        <f>+I15-F15-G15</f>
        <v>4.4800000000000004</v>
      </c>
      <c r="I15" s="108">
        <f>ROUND(+'2006 Stlgt Rates'!I15*(1+$C$3),2)</f>
        <v>29.09</v>
      </c>
    </row>
    <row r="16" spans="1:10">
      <c r="B16" s="105"/>
      <c r="C16" s="109"/>
      <c r="D16" s="105"/>
      <c r="E16" s="105"/>
      <c r="F16" s="108"/>
      <c r="G16" s="108"/>
      <c r="H16" s="108"/>
      <c r="I16" s="108"/>
    </row>
    <row r="17" spans="1:10">
      <c r="A17" s="75" t="s">
        <v>453</v>
      </c>
      <c r="B17" s="110" t="s">
        <v>454</v>
      </c>
      <c r="C17" s="111"/>
      <c r="D17" s="105"/>
      <c r="E17" s="105"/>
      <c r="F17" s="108"/>
      <c r="G17" s="108"/>
      <c r="H17" s="108"/>
      <c r="I17" s="108"/>
    </row>
    <row r="18" spans="1:10">
      <c r="B18" s="105"/>
      <c r="C18" s="109"/>
      <c r="D18" s="105"/>
      <c r="E18" s="105"/>
      <c r="F18" s="108"/>
      <c r="G18" s="108"/>
      <c r="H18" s="108"/>
      <c r="I18" s="108"/>
    </row>
    <row r="19" spans="1:10">
      <c r="B19" s="105" t="s">
        <v>455</v>
      </c>
      <c r="C19" s="109">
        <v>100</v>
      </c>
      <c r="D19" s="105"/>
      <c r="E19" s="105">
        <v>43</v>
      </c>
      <c r="F19" s="108">
        <f>ROUND(+'2006 Stlgt Rates'!F19*(1+$C$3),2)</f>
        <v>6.54</v>
      </c>
      <c r="G19" s="108">
        <f>ROUND(+'2006 Stlgt Rates'!G19*(1+$C$3),2)</f>
        <v>1.25</v>
      </c>
      <c r="H19" s="108">
        <f t="shared" ref="H19:H32" si="0">+I19-F19-G19</f>
        <v>3.6599999999999993</v>
      </c>
      <c r="I19" s="108">
        <f>ROUND(+'2006 Stlgt Rates'!I19*(1+$C$3),2)</f>
        <v>11.45</v>
      </c>
    </row>
    <row r="20" spans="1:10">
      <c r="B20" s="105" t="s">
        <v>456</v>
      </c>
      <c r="C20" s="109">
        <v>101</v>
      </c>
      <c r="D20" s="105"/>
      <c r="E20" s="105">
        <v>52</v>
      </c>
      <c r="F20" s="108">
        <f>ROUND(+'2006 Stlgt Rates'!F20*(1+$C$3),2)</f>
        <v>7.88</v>
      </c>
      <c r="G20" s="108">
        <f>ROUND(+'2006 Stlgt Rates'!G20*(1+$C$3),2)</f>
        <v>1.66</v>
      </c>
      <c r="H20" s="108">
        <f t="shared" si="0"/>
        <v>3.6900000000000004</v>
      </c>
      <c r="I20" s="108">
        <f>ROUND(+'2006 Stlgt Rates'!I20*(1+$C$3),2)</f>
        <v>13.23</v>
      </c>
    </row>
    <row r="21" spans="1:10">
      <c r="B21" s="105" t="s">
        <v>456</v>
      </c>
      <c r="C21" s="109">
        <v>201</v>
      </c>
      <c r="D21" s="105"/>
      <c r="E21" s="105">
        <v>52</v>
      </c>
      <c r="F21" s="108">
        <f>ROUND(+'2006 Stlgt Rates'!F21*(1+$C$3),2)</f>
        <v>7.89</v>
      </c>
      <c r="G21" s="108">
        <f>ROUND(+'2006 Stlgt Rates'!G21*(1+$C$3),2)</f>
        <v>1.66</v>
      </c>
      <c r="H21" s="108">
        <f t="shared" si="0"/>
        <v>1.0000000000000897E-2</v>
      </c>
      <c r="I21" s="108">
        <f>ROUND(+'2006 Stlgt Rates'!I21*(1+$C$3),2)</f>
        <v>9.56</v>
      </c>
      <c r="J21" s="79" t="s">
        <v>457</v>
      </c>
    </row>
    <row r="22" spans="1:10">
      <c r="B22" s="105" t="s">
        <v>458</v>
      </c>
      <c r="C22" s="109">
        <v>102</v>
      </c>
      <c r="D22" s="105"/>
      <c r="E22" s="105">
        <v>69</v>
      </c>
      <c r="F22" s="108">
        <f>ROUND(+'2006 Stlgt Rates'!F22*(1+$C$3),2)</f>
        <v>10.49</v>
      </c>
      <c r="G22" s="108">
        <f>ROUND(+'2006 Stlgt Rates'!G22*(1+$C$3),2)</f>
        <v>1.25</v>
      </c>
      <c r="H22" s="108">
        <f t="shared" si="0"/>
        <v>3.8499999999999996</v>
      </c>
      <c r="I22" s="108">
        <f>ROUND(+'2006 Stlgt Rates'!I22*(1+$C$3),2)</f>
        <v>15.59</v>
      </c>
      <c r="J22" s="79"/>
    </row>
    <row r="23" spans="1:10">
      <c r="B23" s="105" t="s">
        <v>458</v>
      </c>
      <c r="C23" s="109">
        <v>202</v>
      </c>
      <c r="D23" s="105"/>
      <c r="E23" s="105">
        <v>69</v>
      </c>
      <c r="F23" s="108">
        <f>ROUND(+'2006 Stlgt Rates'!F23*(1+$C$3),2)</f>
        <v>10.5</v>
      </c>
      <c r="G23" s="108">
        <f>ROUND(+'2006 Stlgt Rates'!G23*(1+$C$3),2)</f>
        <v>1.25</v>
      </c>
      <c r="H23" s="108">
        <f t="shared" si="0"/>
        <v>0</v>
      </c>
      <c r="I23" s="108">
        <f>ROUND(+'2006 Stlgt Rates'!I23*(1+$C$3),2)</f>
        <v>11.75</v>
      </c>
      <c r="J23" s="79" t="s">
        <v>457</v>
      </c>
    </row>
    <row r="24" spans="1:10">
      <c r="B24" s="105" t="s">
        <v>459</v>
      </c>
      <c r="C24" s="109">
        <v>103</v>
      </c>
      <c r="D24" s="105"/>
      <c r="E24" s="105">
        <v>97</v>
      </c>
      <c r="F24" s="108">
        <f>ROUND(+'2006 Stlgt Rates'!F24*(1+$C$3),2)</f>
        <v>14.72</v>
      </c>
      <c r="G24" s="108">
        <f>ROUND(+'2006 Stlgt Rates'!G24*(1+$C$3),2)</f>
        <v>1.25</v>
      </c>
      <c r="H24" s="108">
        <f t="shared" si="0"/>
        <v>3.9399999999999995</v>
      </c>
      <c r="I24" s="108">
        <f>ROUND(+'2006 Stlgt Rates'!I24*(1+$C$3),2)</f>
        <v>19.91</v>
      </c>
      <c r="J24" s="79"/>
    </row>
    <row r="25" spans="1:10">
      <c r="B25" s="105" t="s">
        <v>459</v>
      </c>
      <c r="C25" s="109">
        <v>107</v>
      </c>
      <c r="D25" s="105"/>
      <c r="E25" s="105">
        <v>212</v>
      </c>
      <c r="F25" s="108">
        <f>ROUND(+'2006 Stlgt Rates'!F25*(1+$C$3),2)</f>
        <v>23.98</v>
      </c>
      <c r="G25" s="108">
        <f>ROUND(+'2006 Stlgt Rates'!G25*(1+$C$3),2)</f>
        <v>2.52</v>
      </c>
      <c r="H25" s="108">
        <f t="shared" si="0"/>
        <v>3.9200000000000013</v>
      </c>
      <c r="I25" s="108">
        <f>ROUND(+'2006 Stlgt Rates'!I25*(1+$C$3),2)</f>
        <v>30.42</v>
      </c>
      <c r="J25" s="79" t="s">
        <v>460</v>
      </c>
    </row>
    <row r="26" spans="1:10">
      <c r="B26" s="105" t="s">
        <v>459</v>
      </c>
      <c r="C26" s="109">
        <v>203</v>
      </c>
      <c r="D26" s="105"/>
      <c r="E26" s="105">
        <v>97</v>
      </c>
      <c r="F26" s="108">
        <f>ROUND(+'2006 Stlgt Rates'!F26*(1+$C$3),2)</f>
        <v>14.72</v>
      </c>
      <c r="G26" s="108">
        <f>ROUND(+'2006 Stlgt Rates'!G26*(1+$C$3),2)</f>
        <v>1.25</v>
      </c>
      <c r="H26" s="108">
        <f t="shared" si="0"/>
        <v>-9.9999999999997868E-3</v>
      </c>
      <c r="I26" s="108">
        <f>ROUND(+'2006 Stlgt Rates'!I26*(1+$C$3),2)</f>
        <v>15.96</v>
      </c>
      <c r="J26" s="79" t="s">
        <v>457</v>
      </c>
    </row>
    <row r="27" spans="1:10">
      <c r="B27" s="105" t="s">
        <v>461</v>
      </c>
      <c r="C27" s="109">
        <v>104</v>
      </c>
      <c r="D27" s="105"/>
      <c r="E27" s="105">
        <v>154</v>
      </c>
      <c r="F27" s="108">
        <f>ROUND(+'2006 Stlgt Rates'!F27*(1+$C$3),2)</f>
        <v>23.36</v>
      </c>
      <c r="G27" s="108">
        <f>ROUND(+'2006 Stlgt Rates'!G27*(1+$C$3),2)</f>
        <v>1.25</v>
      </c>
      <c r="H27" s="108">
        <f t="shared" si="0"/>
        <v>4.4400000000000013</v>
      </c>
      <c r="I27" s="108">
        <f>ROUND(+'2006 Stlgt Rates'!I27*(1+$C$3),2)</f>
        <v>29.05</v>
      </c>
      <c r="J27" s="79"/>
    </row>
    <row r="28" spans="1:10">
      <c r="B28" s="105" t="s">
        <v>461</v>
      </c>
      <c r="C28" s="109">
        <v>204</v>
      </c>
      <c r="D28" s="105"/>
      <c r="E28" s="105">
        <v>154</v>
      </c>
      <c r="F28" s="108">
        <f>ROUND(+'2006 Stlgt Rates'!F28*(1+$C$3),2)</f>
        <v>23.36</v>
      </c>
      <c r="G28" s="108">
        <f>ROUND(+'2006 Stlgt Rates'!G28*(1+$C$3),2)</f>
        <v>1.25</v>
      </c>
      <c r="H28" s="108">
        <f t="shared" si="0"/>
        <v>1.9999999999999574E-2</v>
      </c>
      <c r="I28" s="108">
        <f>ROUND(+'2006 Stlgt Rates'!I28*(1+$C$3),2)</f>
        <v>24.63</v>
      </c>
      <c r="J28" s="79" t="s">
        <v>457</v>
      </c>
    </row>
    <row r="29" spans="1:10">
      <c r="B29" s="105" t="s">
        <v>462</v>
      </c>
      <c r="C29" s="109">
        <v>105</v>
      </c>
      <c r="D29" s="105"/>
      <c r="E29" s="105">
        <v>260</v>
      </c>
      <c r="F29" s="108">
        <f>ROUND(+'2006 Stlgt Rates'!F29*(1+$C$3),2)</f>
        <v>39.450000000000003</v>
      </c>
      <c r="G29" s="108">
        <f>ROUND(+'2006 Stlgt Rates'!G29*(1+$C$3),2)</f>
        <v>1.25</v>
      </c>
      <c r="H29" s="108">
        <f t="shared" si="0"/>
        <v>13.729999999999997</v>
      </c>
      <c r="I29" s="108">
        <f>ROUND(+'2006 Stlgt Rates'!I29*(1+$C$3),2)</f>
        <v>54.43</v>
      </c>
      <c r="J29" s="79"/>
    </row>
    <row r="30" spans="1:10">
      <c r="B30" s="105" t="s">
        <v>462</v>
      </c>
      <c r="C30" s="109">
        <v>205</v>
      </c>
      <c r="D30" s="105"/>
      <c r="E30" s="105">
        <v>260</v>
      </c>
      <c r="F30" s="108">
        <f>ROUND(+'2006 Stlgt Rates'!F30*(1+$C$3),2)</f>
        <v>39.450000000000003</v>
      </c>
      <c r="G30" s="108">
        <f>ROUND(+'2006 Stlgt Rates'!G30*(1+$C$3),2)</f>
        <v>1.25</v>
      </c>
      <c r="H30" s="108">
        <f t="shared" si="0"/>
        <v>0</v>
      </c>
      <c r="I30" s="108">
        <f>ROUND(+'2006 Stlgt Rates'!I30*(1+$C$3),2)</f>
        <v>40.700000000000003</v>
      </c>
      <c r="J30" s="79" t="s">
        <v>457</v>
      </c>
    </row>
    <row r="31" spans="1:10">
      <c r="B31" s="105" t="s">
        <v>463</v>
      </c>
      <c r="C31" s="109">
        <v>106</v>
      </c>
      <c r="D31" s="105"/>
      <c r="E31" s="105">
        <v>363</v>
      </c>
      <c r="F31" s="108">
        <f>ROUND(+'2006 Stlgt Rates'!F31*(1+$C$3),2)</f>
        <v>55.06</v>
      </c>
      <c r="G31" s="108">
        <f>ROUND(+'2006 Stlgt Rates'!G31*(1+$C$3),2)</f>
        <v>1.25</v>
      </c>
      <c r="H31" s="108">
        <f t="shared" si="0"/>
        <v>13.920000000000002</v>
      </c>
      <c r="I31" s="108">
        <f>ROUND(+'2006 Stlgt Rates'!I31*(1+$C$3),2)</f>
        <v>70.23</v>
      </c>
      <c r="J31" s="79"/>
    </row>
    <row r="32" spans="1:10">
      <c r="B32" s="105" t="s">
        <v>463</v>
      </c>
      <c r="C32" s="109">
        <v>206</v>
      </c>
      <c r="D32" s="105"/>
      <c r="E32" s="105">
        <v>363</v>
      </c>
      <c r="F32" s="108">
        <f>ROUND(+'2006 Stlgt Rates'!F32*(1+$C$3),2)</f>
        <v>55.07</v>
      </c>
      <c r="G32" s="108">
        <f>ROUND(+'2006 Stlgt Rates'!G32*(1+$C$3),2)</f>
        <v>1.25</v>
      </c>
      <c r="H32" s="108">
        <f t="shared" si="0"/>
        <v>9.9999999999980105E-3</v>
      </c>
      <c r="I32" s="108">
        <f>ROUND(+'2006 Stlgt Rates'!I32*(1+$C$3),2)</f>
        <v>56.33</v>
      </c>
      <c r="J32" s="79" t="s">
        <v>457</v>
      </c>
    </row>
    <row r="33" spans="1:10">
      <c r="C33" s="78"/>
      <c r="E33" s="77"/>
      <c r="F33" s="77"/>
      <c r="G33" s="77"/>
      <c r="H33" s="77"/>
      <c r="I33" s="77"/>
      <c r="J33" s="79"/>
    </row>
    <row r="34" spans="1:10">
      <c r="A34" s="75" t="s">
        <v>464</v>
      </c>
      <c r="B34" s="76" t="s">
        <v>465</v>
      </c>
      <c r="C34" s="72"/>
      <c r="E34" s="77"/>
      <c r="F34" s="77"/>
      <c r="G34" s="77"/>
      <c r="H34" s="77"/>
      <c r="I34" s="77"/>
      <c r="J34" s="79"/>
    </row>
    <row r="35" spans="1:10">
      <c r="C35" s="78"/>
      <c r="E35" s="77"/>
      <c r="F35" s="77"/>
      <c r="G35" s="77"/>
      <c r="H35" s="77"/>
      <c r="I35" s="77"/>
      <c r="J35" s="79"/>
    </row>
    <row r="36" spans="1:10">
      <c r="B36" s="80" t="s">
        <v>466</v>
      </c>
      <c r="C36" s="73"/>
      <c r="E36" s="77"/>
      <c r="F36" s="77"/>
      <c r="G36" s="77"/>
      <c r="H36" s="77"/>
      <c r="I36" s="77"/>
      <c r="J36" s="79"/>
    </row>
    <row r="37" spans="1:10">
      <c r="C37" s="78"/>
      <c r="E37" s="77"/>
      <c r="F37" s="77"/>
      <c r="G37" s="77"/>
      <c r="H37" s="77"/>
      <c r="I37" s="77"/>
      <c r="J37" s="79"/>
    </row>
    <row r="38" spans="1:10">
      <c r="B38" s="105" t="s">
        <v>467</v>
      </c>
      <c r="C38" s="109">
        <v>110</v>
      </c>
      <c r="D38" s="109">
        <v>2</v>
      </c>
      <c r="E38" s="113">
        <v>30</v>
      </c>
      <c r="F38" s="108">
        <f>ROUND(+'2006 Stlgt Rates'!F38*(1+$C$3),2)</f>
        <v>4.57</v>
      </c>
      <c r="G38" s="108">
        <f>ROUND(+'2006 Stlgt Rates'!G38*(1+$C$3),2)</f>
        <v>2</v>
      </c>
      <c r="H38" s="108">
        <f t="shared" ref="H38:H50" si="1">+I38-F38-G38</f>
        <v>4.4000000000000004</v>
      </c>
      <c r="I38" s="108">
        <f>ROUND(+'2006 Stlgt Rates'!I38*(1+$C$3),2)</f>
        <v>10.97</v>
      </c>
      <c r="J38" s="79"/>
    </row>
    <row r="39" spans="1:10">
      <c r="B39" s="105" t="s">
        <v>468</v>
      </c>
      <c r="C39" s="109">
        <v>217</v>
      </c>
      <c r="D39" s="109">
        <v>1</v>
      </c>
      <c r="E39" s="113">
        <v>49</v>
      </c>
      <c r="F39" s="108">
        <f>ROUND(+'2006 Stlgt Rates'!F39*(1+$C$3),2)</f>
        <v>7.44</v>
      </c>
      <c r="G39" s="108">
        <f>ROUND(+'2006 Stlgt Rates'!G39*(1+$C$3),2)</f>
        <v>2</v>
      </c>
      <c r="H39" s="108">
        <f t="shared" si="1"/>
        <v>0</v>
      </c>
      <c r="I39" s="108">
        <f>ROUND(+'2006 Stlgt Rates'!I39*(1+$C$3),2)</f>
        <v>9.44</v>
      </c>
      <c r="J39" s="79" t="s">
        <v>457</v>
      </c>
    </row>
    <row r="40" spans="1:10">
      <c r="B40" s="105" t="s">
        <v>468</v>
      </c>
      <c r="C40" s="109">
        <v>111</v>
      </c>
      <c r="D40" s="109">
        <v>2</v>
      </c>
      <c r="E40" s="113">
        <v>85</v>
      </c>
      <c r="F40" s="108">
        <f>ROUND(+'2006 Stlgt Rates'!F40*(1+$C$3),2)</f>
        <v>12.88</v>
      </c>
      <c r="G40" s="108">
        <f>ROUND(+'2006 Stlgt Rates'!G40*(1+$C$3),2)</f>
        <v>2</v>
      </c>
      <c r="H40" s="108">
        <f t="shared" si="1"/>
        <v>5.0499999999999989</v>
      </c>
      <c r="I40" s="108">
        <f>ROUND(+'2006 Stlgt Rates'!I40*(1+$C$3),2)</f>
        <v>19.93</v>
      </c>
      <c r="J40" s="79"/>
    </row>
    <row r="41" spans="1:10">
      <c r="B41" s="105" t="s">
        <v>468</v>
      </c>
      <c r="C41" s="109">
        <v>218</v>
      </c>
      <c r="D41" s="109">
        <v>2</v>
      </c>
      <c r="E41" s="113">
        <v>85</v>
      </c>
      <c r="F41" s="108">
        <f>ROUND(+'2006 Stlgt Rates'!F41*(1+$C$3),2)</f>
        <v>12.89</v>
      </c>
      <c r="G41" s="108">
        <f>ROUND(+'2006 Stlgt Rates'!G41*(1+$C$3),2)</f>
        <v>2</v>
      </c>
      <c r="H41" s="108">
        <f t="shared" si="1"/>
        <v>0</v>
      </c>
      <c r="I41" s="108">
        <f>ROUND(+'2006 Stlgt Rates'!I41*(1+$C$3),2)</f>
        <v>14.89</v>
      </c>
      <c r="J41" s="79" t="s">
        <v>457</v>
      </c>
    </row>
    <row r="42" spans="1:10">
      <c r="B42" s="105" t="s">
        <v>468</v>
      </c>
      <c r="C42" s="109">
        <v>116</v>
      </c>
      <c r="D42" s="109">
        <v>4</v>
      </c>
      <c r="E42" s="113">
        <v>166</v>
      </c>
      <c r="F42" s="108">
        <f>ROUND(+'2006 Stlgt Rates'!F42*(1+$C$3),2)</f>
        <v>25.22</v>
      </c>
      <c r="G42" s="108">
        <f>ROUND(+'2006 Stlgt Rates'!G42*(1+$C$3),2)</f>
        <v>2</v>
      </c>
      <c r="H42" s="108">
        <f t="shared" si="1"/>
        <v>6.4100000000000037</v>
      </c>
      <c r="I42" s="108">
        <f>ROUND(+'2006 Stlgt Rates'!I42*(1+$C$3),2)</f>
        <v>33.630000000000003</v>
      </c>
      <c r="J42" s="79"/>
    </row>
    <row r="43" spans="1:10">
      <c r="B43" s="105" t="s">
        <v>468</v>
      </c>
      <c r="C43" s="109">
        <v>216</v>
      </c>
      <c r="D43" s="109">
        <v>4</v>
      </c>
      <c r="E43" s="113">
        <v>166</v>
      </c>
      <c r="F43" s="108">
        <f>ROUND(+'2006 Stlgt Rates'!F43*(1+$C$3),2)</f>
        <v>25.22</v>
      </c>
      <c r="G43" s="108">
        <f>ROUND(+'2006 Stlgt Rates'!G43*(1+$C$3),2)</f>
        <v>2</v>
      </c>
      <c r="H43" s="108">
        <f t="shared" si="1"/>
        <v>-9.9999999999980105E-3</v>
      </c>
      <c r="I43" s="108">
        <f>ROUND(+'2006 Stlgt Rates'!I43*(1+$C$3),2)</f>
        <v>27.21</v>
      </c>
      <c r="J43" s="79"/>
    </row>
    <row r="44" spans="1:10">
      <c r="B44" s="105" t="s">
        <v>469</v>
      </c>
      <c r="C44" s="109">
        <v>115</v>
      </c>
      <c r="D44" s="109">
        <v>1</v>
      </c>
      <c r="E44" s="113">
        <v>60</v>
      </c>
      <c r="F44" s="108">
        <f>ROUND(+'2006 Stlgt Rates'!F44*(1+$C$3),2)</f>
        <v>9.1199999999999992</v>
      </c>
      <c r="G44" s="108">
        <f>ROUND(+'2006 Stlgt Rates'!G44*(1+$C$3),2)</f>
        <v>2</v>
      </c>
      <c r="H44" s="108">
        <f t="shared" si="1"/>
        <v>4.7300000000000004</v>
      </c>
      <c r="I44" s="108">
        <f>ROUND(+'2006 Stlgt Rates'!I44*(1+$C$3),2)</f>
        <v>15.85</v>
      </c>
      <c r="J44" s="79"/>
    </row>
    <row r="45" spans="1:10">
      <c r="B45" s="105" t="s">
        <v>469</v>
      </c>
      <c r="C45" s="109">
        <v>215</v>
      </c>
      <c r="D45" s="109">
        <v>1</v>
      </c>
      <c r="E45" s="113">
        <v>60</v>
      </c>
      <c r="F45" s="108">
        <f>ROUND(+'2006 Stlgt Rates'!F45*(1+$C$3),2)</f>
        <v>9.14</v>
      </c>
      <c r="G45" s="108">
        <f>ROUND(+'2006 Stlgt Rates'!G45*(1+$C$3),2)</f>
        <v>2</v>
      </c>
      <c r="H45" s="108">
        <f t="shared" si="1"/>
        <v>-9.9999999999997868E-3</v>
      </c>
      <c r="I45" s="108">
        <f>ROUND(+'2006 Stlgt Rates'!I45*(1+$C$3),2)</f>
        <v>11.13</v>
      </c>
      <c r="J45" s="79" t="s">
        <v>457</v>
      </c>
    </row>
    <row r="46" spans="1:10">
      <c r="B46" s="105" t="s">
        <v>469</v>
      </c>
      <c r="C46" s="109">
        <v>112</v>
      </c>
      <c r="D46" s="109">
        <v>2</v>
      </c>
      <c r="E46" s="113">
        <v>116</v>
      </c>
      <c r="F46" s="108">
        <f>ROUND(+'2006 Stlgt Rates'!F46*(1+$C$3),2)</f>
        <v>17.61</v>
      </c>
      <c r="G46" s="108">
        <f>ROUND(+'2006 Stlgt Rates'!G46*(1+$C$3),2)</f>
        <v>2</v>
      </c>
      <c r="H46" s="108">
        <f t="shared" si="1"/>
        <v>6.18</v>
      </c>
      <c r="I46" s="108">
        <f>ROUND(+'2006 Stlgt Rates'!I46*(1+$C$3),2)</f>
        <v>25.79</v>
      </c>
      <c r="J46" s="79"/>
    </row>
    <row r="47" spans="1:10">
      <c r="B47" s="105" t="s">
        <v>469</v>
      </c>
      <c r="C47" s="109">
        <v>113</v>
      </c>
      <c r="D47" s="109">
        <v>4</v>
      </c>
      <c r="E47" s="113">
        <v>222</v>
      </c>
      <c r="F47" s="108">
        <f>ROUND(+'2006 Stlgt Rates'!F47*(1+$C$3),2)</f>
        <v>33.659999999999997</v>
      </c>
      <c r="G47" s="108">
        <f>ROUND(+'2006 Stlgt Rates'!G47*(1+$C$3),2)</f>
        <v>2</v>
      </c>
      <c r="H47" s="108">
        <f t="shared" si="1"/>
        <v>9.07</v>
      </c>
      <c r="I47" s="108">
        <f>ROUND(+'2006 Stlgt Rates'!I47*(1+$C$3),2)</f>
        <v>44.73</v>
      </c>
      <c r="J47" s="79"/>
    </row>
    <row r="48" spans="1:10">
      <c r="B48" s="105" t="s">
        <v>469</v>
      </c>
      <c r="C48" s="109">
        <v>213</v>
      </c>
      <c r="D48" s="109">
        <v>4</v>
      </c>
      <c r="E48" s="113">
        <v>222</v>
      </c>
      <c r="F48" s="108">
        <f>ROUND(+'2006 Stlgt Rates'!F48*(1+$C$3),2)</f>
        <v>33.659999999999997</v>
      </c>
      <c r="G48" s="108">
        <f>ROUND(+'2006 Stlgt Rates'!G48*(1+$C$3),2)</f>
        <v>2</v>
      </c>
      <c r="H48" s="108">
        <f t="shared" si="1"/>
        <v>0</v>
      </c>
      <c r="I48" s="108">
        <f>ROUND(+'2006 Stlgt Rates'!I48*(1+$C$3),2)</f>
        <v>35.659999999999997</v>
      </c>
      <c r="J48" s="79" t="s">
        <v>457</v>
      </c>
    </row>
    <row r="49" spans="1:10">
      <c r="B49" s="105" t="s">
        <v>470</v>
      </c>
      <c r="C49" s="109">
        <v>114</v>
      </c>
      <c r="D49" s="109">
        <v>1</v>
      </c>
      <c r="E49" s="113">
        <v>47</v>
      </c>
      <c r="F49" s="108">
        <f>ROUND(+'2006 Stlgt Rates'!F49*(1+$C$3),2)</f>
        <v>7.13</v>
      </c>
      <c r="G49" s="108">
        <f>ROUND(+'2006 Stlgt Rates'!G49*(1+$C$3),2)</f>
        <v>2</v>
      </c>
      <c r="H49" s="108">
        <f t="shared" si="1"/>
        <v>5.7399999999999993</v>
      </c>
      <c r="I49" s="108">
        <f>ROUND(+'2006 Stlgt Rates'!I49*(1+$C$3),2)</f>
        <v>14.87</v>
      </c>
      <c r="J49" s="79"/>
    </row>
    <row r="50" spans="1:10">
      <c r="B50" s="105" t="s">
        <v>470</v>
      </c>
      <c r="C50" s="109">
        <v>214</v>
      </c>
      <c r="D50" s="109">
        <v>1</v>
      </c>
      <c r="E50" s="113">
        <v>47</v>
      </c>
      <c r="F50" s="108">
        <f>ROUND(+'2006 Stlgt Rates'!F50*(1+$C$3),2)</f>
        <v>7.13</v>
      </c>
      <c r="G50" s="108">
        <f>ROUND(+'2006 Stlgt Rates'!G50*(1+$C$3),2)</f>
        <v>2</v>
      </c>
      <c r="H50" s="108">
        <f t="shared" si="1"/>
        <v>-1.0000000000000675E-2</v>
      </c>
      <c r="I50" s="108">
        <f>ROUND(+'2006 Stlgt Rates'!I50*(1+$C$3),2)</f>
        <v>9.1199999999999992</v>
      </c>
      <c r="J50" s="79" t="s">
        <v>457</v>
      </c>
    </row>
    <row r="51" spans="1:10">
      <c r="B51" s="105"/>
      <c r="C51" s="109"/>
      <c r="D51" s="105"/>
      <c r="E51" s="113"/>
      <c r="F51" s="108"/>
      <c r="G51" s="108"/>
      <c r="H51" s="108"/>
      <c r="I51" s="108"/>
      <c r="J51" s="79"/>
    </row>
    <row r="52" spans="1:10">
      <c r="A52" s="75" t="s">
        <v>471</v>
      </c>
      <c r="B52" s="110" t="s">
        <v>472</v>
      </c>
      <c r="C52" s="111"/>
      <c r="D52" s="105"/>
      <c r="E52" s="113"/>
      <c r="F52" s="108"/>
      <c r="G52" s="108"/>
      <c r="H52" s="108"/>
      <c r="I52" s="108"/>
      <c r="J52" s="79"/>
    </row>
    <row r="53" spans="1:10">
      <c r="B53" s="105"/>
      <c r="C53" s="109"/>
      <c r="D53" s="105"/>
      <c r="E53" s="113"/>
      <c r="F53" s="108"/>
      <c r="G53" s="108"/>
      <c r="H53" s="108"/>
      <c r="I53" s="108"/>
      <c r="J53" s="79"/>
    </row>
    <row r="54" spans="1:10">
      <c r="B54" s="114" t="s">
        <v>473</v>
      </c>
      <c r="C54" s="115"/>
      <c r="D54" s="105"/>
      <c r="E54" s="113"/>
      <c r="F54" s="108"/>
      <c r="G54" s="108"/>
      <c r="H54" s="108"/>
      <c r="I54" s="108"/>
      <c r="J54" s="79"/>
    </row>
    <row r="55" spans="1:10">
      <c r="B55" s="105"/>
      <c r="C55" s="109"/>
      <c r="D55" s="105"/>
      <c r="E55" s="113"/>
      <c r="F55" s="108"/>
      <c r="G55" s="108"/>
      <c r="H55" s="108"/>
      <c r="I55" s="108"/>
      <c r="J55" s="79"/>
    </row>
    <row r="56" spans="1:10">
      <c r="B56" s="116" t="s">
        <v>466</v>
      </c>
      <c r="C56" s="117"/>
      <c r="D56" s="105"/>
      <c r="E56" s="113"/>
      <c r="F56" s="108"/>
      <c r="G56" s="108"/>
      <c r="H56" s="108"/>
      <c r="I56" s="108"/>
      <c r="J56" s="79"/>
    </row>
    <row r="57" spans="1:10">
      <c r="B57" s="105"/>
      <c r="C57" s="109"/>
      <c r="D57" s="105"/>
      <c r="E57" s="113"/>
      <c r="F57" s="108"/>
      <c r="G57" s="108"/>
      <c r="H57" s="108"/>
      <c r="I57" s="108"/>
      <c r="J57" s="79"/>
    </row>
    <row r="58" spans="1:10">
      <c r="B58" s="105" t="s">
        <v>467</v>
      </c>
      <c r="C58" s="109">
        <v>118</v>
      </c>
      <c r="D58" s="109">
        <v>2</v>
      </c>
      <c r="E58" s="113">
        <v>66</v>
      </c>
      <c r="F58" s="108">
        <f>ROUND(+'2006 Stlgt Rates'!F58*(1+$C$3),2)</f>
        <v>7.48</v>
      </c>
      <c r="G58" s="108">
        <f>ROUND(+'2006 Stlgt Rates'!G58*(1+$C$3),2)</f>
        <v>0</v>
      </c>
      <c r="H58" s="108">
        <f>+I58-F58-G58</f>
        <v>0</v>
      </c>
      <c r="I58" s="108">
        <f>ROUND(+'2006 Stlgt Rates'!I58*(1+$C$3),2)</f>
        <v>7.48</v>
      </c>
      <c r="J58" s="79"/>
    </row>
    <row r="59" spans="1:10">
      <c r="B59" s="105" t="s">
        <v>468</v>
      </c>
      <c r="C59" s="109">
        <v>119</v>
      </c>
      <c r="D59" s="109">
        <v>4</v>
      </c>
      <c r="E59" s="113">
        <v>364</v>
      </c>
      <c r="F59" s="108">
        <f>ROUND(+'2006 Stlgt Rates'!F59*(1+$C$3),2)</f>
        <v>41.18</v>
      </c>
      <c r="G59" s="108">
        <f>ROUND(+'2006 Stlgt Rates'!G59*(1+$C$3),2)</f>
        <v>0</v>
      </c>
      <c r="H59" s="108">
        <f>+I59-F59-G59</f>
        <v>0</v>
      </c>
      <c r="I59" s="108">
        <f>ROUND(+'2006 Stlgt Rates'!I59*(1+$C$3),2)</f>
        <v>41.18</v>
      </c>
      <c r="J59" s="79"/>
    </row>
    <row r="60" spans="1:10">
      <c r="B60" s="105" t="s">
        <v>469</v>
      </c>
      <c r="C60" s="109">
        <v>117</v>
      </c>
      <c r="D60" s="109">
        <v>4</v>
      </c>
      <c r="E60" s="113">
        <v>486</v>
      </c>
      <c r="F60" s="108">
        <f>ROUND(+'2006 Stlgt Rates'!F60*(1+$C$3),2)</f>
        <v>54.99</v>
      </c>
      <c r="G60" s="108">
        <f>ROUND(+'2006 Stlgt Rates'!G60*(1+$C$3),2)</f>
        <v>0</v>
      </c>
      <c r="H60" s="108">
        <f>+I60-F60-G60</f>
        <v>0</v>
      </c>
      <c r="I60" s="108">
        <f>ROUND(+'2006 Stlgt Rates'!I60*(1+$C$3),2)</f>
        <v>54.99</v>
      </c>
      <c r="J60" s="79"/>
    </row>
    <row r="61" spans="1:10">
      <c r="B61" s="105" t="s">
        <v>470</v>
      </c>
      <c r="C61" s="109">
        <v>120</v>
      </c>
      <c r="D61" s="109">
        <v>2</v>
      </c>
      <c r="E61" s="113">
        <v>254</v>
      </c>
      <c r="F61" s="108">
        <f>ROUND(+'2006 Stlgt Rates'!F61*(1+$C$3),2)</f>
        <v>28.75</v>
      </c>
      <c r="G61" s="108">
        <f>ROUND(+'2006 Stlgt Rates'!G61*(1+$C$3),2)</f>
        <v>0</v>
      </c>
      <c r="H61" s="108">
        <f>+I61-F61-G61</f>
        <v>0</v>
      </c>
      <c r="I61" s="108">
        <f>ROUND(+'2006 Stlgt Rates'!I61*(1+$C$3),2)</f>
        <v>28.75</v>
      </c>
      <c r="J61" s="79"/>
    </row>
    <row r="62" spans="1:10">
      <c r="B62" s="105" t="s">
        <v>470</v>
      </c>
      <c r="C62" s="109">
        <v>150</v>
      </c>
      <c r="D62" s="109">
        <v>4</v>
      </c>
      <c r="E62" s="113">
        <v>613</v>
      </c>
      <c r="F62" s="108">
        <f>ROUND(+'2006 Stlgt Rates'!F62*(1+$C$3),2)</f>
        <v>69.36</v>
      </c>
      <c r="G62" s="108">
        <f>ROUND(+'2006 Stlgt Rates'!G62*(1+$C$3),2)</f>
        <v>0</v>
      </c>
      <c r="H62" s="108">
        <f>+I62-F62-G62</f>
        <v>0</v>
      </c>
      <c r="I62" s="108">
        <f>ROUND(+'2006 Stlgt Rates'!I62*(1+$C$3),2)</f>
        <v>69.36</v>
      </c>
      <c r="J62" s="79"/>
    </row>
    <row r="63" spans="1:10">
      <c r="B63" s="105"/>
      <c r="C63" s="109"/>
      <c r="D63" s="105"/>
      <c r="E63" s="113"/>
      <c r="F63" s="108"/>
      <c r="G63" s="108"/>
      <c r="H63" s="108"/>
      <c r="I63" s="108"/>
      <c r="J63" s="79"/>
    </row>
    <row r="64" spans="1:10">
      <c r="B64" s="114" t="s">
        <v>474</v>
      </c>
      <c r="C64" s="115"/>
      <c r="D64" s="105"/>
      <c r="E64" s="113"/>
      <c r="F64" s="108"/>
      <c r="G64" s="108"/>
      <c r="H64" s="108"/>
      <c r="I64" s="108"/>
      <c r="J64" s="79"/>
    </row>
    <row r="65" spans="1:10">
      <c r="B65" s="105"/>
      <c r="C65" s="109"/>
      <c r="D65" s="105"/>
      <c r="E65" s="113"/>
      <c r="F65" s="108"/>
      <c r="G65" s="108"/>
      <c r="H65" s="108"/>
      <c r="I65" s="108"/>
      <c r="J65" s="79"/>
    </row>
    <row r="66" spans="1:10">
      <c r="B66" s="116" t="s">
        <v>466</v>
      </c>
      <c r="C66" s="117"/>
      <c r="D66" s="105"/>
      <c r="E66" s="113"/>
      <c r="F66" s="108"/>
      <c r="G66" s="108"/>
      <c r="H66" s="108"/>
      <c r="I66" s="108"/>
      <c r="J66" s="79"/>
    </row>
    <row r="67" spans="1:10">
      <c r="B67" s="105"/>
      <c r="C67" s="109"/>
      <c r="D67" s="105"/>
      <c r="E67" s="113"/>
      <c r="F67" s="108"/>
      <c r="G67" s="108"/>
      <c r="H67" s="108"/>
      <c r="I67" s="108"/>
      <c r="J67" s="79"/>
    </row>
    <row r="68" spans="1:10">
      <c r="B68" s="105" t="s">
        <v>467</v>
      </c>
      <c r="C68" s="109">
        <v>310</v>
      </c>
      <c r="D68" s="109">
        <v>2</v>
      </c>
      <c r="E68" s="113">
        <v>30</v>
      </c>
      <c r="F68" s="108">
        <f>ROUND(+'2006 Stlgt Rates'!F68*(1+$C$3),2)</f>
        <v>4.57</v>
      </c>
      <c r="G68" s="108">
        <f>ROUND(+'2006 Stlgt Rates'!G68*(1+$C$3),2)</f>
        <v>0</v>
      </c>
      <c r="H68" s="108">
        <f>+I68-F68-G68</f>
        <v>0</v>
      </c>
      <c r="I68" s="108">
        <f>ROUND(+'2006 Stlgt Rates'!I68*(1+$C$3),2)</f>
        <v>4.57</v>
      </c>
      <c r="J68" s="79"/>
    </row>
    <row r="69" spans="1:10">
      <c r="B69" s="105" t="s">
        <v>468</v>
      </c>
      <c r="C69" s="109">
        <v>311</v>
      </c>
      <c r="D69" s="109">
        <v>4</v>
      </c>
      <c r="E69" s="113">
        <v>166</v>
      </c>
      <c r="F69" s="108">
        <f>ROUND(+'2006 Stlgt Rates'!F69*(1+$C$3),2)</f>
        <v>25.22</v>
      </c>
      <c r="G69" s="108">
        <f>ROUND(+'2006 Stlgt Rates'!G69*(1+$C$3),2)</f>
        <v>0</v>
      </c>
      <c r="H69" s="108">
        <f>+I69-F69-G69</f>
        <v>0</v>
      </c>
      <c r="I69" s="108">
        <f>ROUND(+'2006 Stlgt Rates'!I69*(1+$C$3),2)</f>
        <v>25.22</v>
      </c>
      <c r="J69" s="79"/>
    </row>
    <row r="70" spans="1:10">
      <c r="B70" s="105" t="s">
        <v>469</v>
      </c>
      <c r="C70" s="109">
        <v>313</v>
      </c>
      <c r="D70" s="109">
        <v>4</v>
      </c>
      <c r="E70" s="113">
        <v>222</v>
      </c>
      <c r="F70" s="108">
        <f>ROUND(+'2006 Stlgt Rates'!F70*(1+$C$3),2)</f>
        <v>33.68</v>
      </c>
      <c r="G70" s="108">
        <f>ROUND(+'2006 Stlgt Rates'!G70*(1+$C$3),2)</f>
        <v>0</v>
      </c>
      <c r="H70" s="108">
        <f>+I70-F70-G70</f>
        <v>0</v>
      </c>
      <c r="I70" s="108">
        <f>ROUND(+'2006 Stlgt Rates'!I70*(1+$C$3),2)</f>
        <v>33.68</v>
      </c>
      <c r="J70" s="79"/>
    </row>
    <row r="71" spans="1:10">
      <c r="B71" s="105" t="s">
        <v>469</v>
      </c>
      <c r="C71" s="109">
        <v>312</v>
      </c>
      <c r="D71" s="109">
        <v>2</v>
      </c>
      <c r="E71" s="113">
        <v>116</v>
      </c>
      <c r="F71" s="108">
        <f>ROUND(+'2006 Stlgt Rates'!F71*(1+$C$3),2)</f>
        <v>17.61</v>
      </c>
      <c r="G71" s="108">
        <f>ROUND(+'2006 Stlgt Rates'!G71*(1+$C$3),2)</f>
        <v>0</v>
      </c>
      <c r="H71" s="108">
        <f>+I71-F71-G71</f>
        <v>0</v>
      </c>
      <c r="I71" s="108">
        <f>ROUND(+'2006 Stlgt Rates'!I71*(1+$C$3),2)</f>
        <v>17.61</v>
      </c>
      <c r="J71" s="79"/>
    </row>
    <row r="72" spans="1:10">
      <c r="B72" s="105" t="s">
        <v>470</v>
      </c>
      <c r="C72" s="109">
        <v>350</v>
      </c>
      <c r="D72" s="109">
        <v>4</v>
      </c>
      <c r="E72" s="113">
        <v>280</v>
      </c>
      <c r="F72" s="108">
        <f>ROUND(+'2006 Stlgt Rates'!F72*(1+$C$3),2)</f>
        <v>42.47</v>
      </c>
      <c r="G72" s="108">
        <f>ROUND(+'2006 Stlgt Rates'!G72*(1+$C$3),2)</f>
        <v>0</v>
      </c>
      <c r="H72" s="108">
        <f>+I72-F72-G72</f>
        <v>0</v>
      </c>
      <c r="I72" s="108">
        <f>ROUND(+'2006 Stlgt Rates'!I72*(1+$C$3),2)</f>
        <v>42.47</v>
      </c>
      <c r="J72" s="79"/>
    </row>
    <row r="73" spans="1:10">
      <c r="B73" s="105"/>
      <c r="C73" s="109"/>
      <c r="D73" s="105"/>
      <c r="E73" s="113"/>
      <c r="F73" s="108"/>
      <c r="G73" s="108"/>
      <c r="H73" s="108"/>
      <c r="I73" s="108"/>
      <c r="J73" s="79"/>
    </row>
    <row r="74" spans="1:10">
      <c r="A74" s="75" t="s">
        <v>475</v>
      </c>
      <c r="B74" s="110" t="s">
        <v>476</v>
      </c>
      <c r="C74" s="111"/>
      <c r="D74" s="105"/>
      <c r="E74" s="113"/>
      <c r="F74" s="108"/>
      <c r="G74" s="108"/>
      <c r="H74" s="108"/>
      <c r="I74" s="108"/>
      <c r="J74" s="79"/>
    </row>
    <row r="75" spans="1:10">
      <c r="B75" s="105"/>
      <c r="C75" s="109"/>
      <c r="D75" s="105"/>
      <c r="E75" s="113"/>
      <c r="F75" s="108"/>
      <c r="G75" s="108"/>
      <c r="H75" s="108"/>
      <c r="I75" s="108"/>
      <c r="J75" s="79"/>
    </row>
    <row r="76" spans="1:10">
      <c r="B76" s="116" t="s">
        <v>477</v>
      </c>
      <c r="C76" s="117"/>
      <c r="D76" s="105"/>
      <c r="E76" s="113"/>
      <c r="F76" s="108"/>
      <c r="G76" s="108"/>
      <c r="H76" s="108"/>
      <c r="I76" s="108"/>
      <c r="J76" s="79"/>
    </row>
    <row r="77" spans="1:10">
      <c r="B77" s="105"/>
      <c r="C77" s="109"/>
      <c r="D77" s="105"/>
      <c r="E77" s="113"/>
      <c r="F77" s="108"/>
      <c r="G77" s="108"/>
      <c r="H77" s="108"/>
      <c r="I77" s="108"/>
      <c r="J77" s="79"/>
    </row>
    <row r="78" spans="1:10">
      <c r="B78" s="118" t="s">
        <v>478</v>
      </c>
      <c r="C78" s="106">
        <v>132</v>
      </c>
      <c r="D78" s="105"/>
      <c r="E78" s="113">
        <v>45</v>
      </c>
      <c r="F78" s="108">
        <f>ROUND(+'2006 Stlgt Rates'!F78*(1+$C$3),2)</f>
        <v>6.8</v>
      </c>
      <c r="G78" s="108">
        <f>ROUND(+'2006 Stlgt Rates'!G78*(1+$C$3),2)</f>
        <v>2.5299999999999998</v>
      </c>
      <c r="H78" s="108">
        <f>+I78-F78-G78</f>
        <v>5.9500000000000011</v>
      </c>
      <c r="I78" s="108">
        <f>ROUND(+'2006 Stlgt Rates'!I78*(1+$C$3),2)</f>
        <v>15.28</v>
      </c>
      <c r="J78" s="79"/>
    </row>
    <row r="79" spans="1:10">
      <c r="B79" s="118" t="s">
        <v>479</v>
      </c>
      <c r="C79" s="106">
        <v>130</v>
      </c>
      <c r="D79" s="105"/>
      <c r="E79" s="113">
        <v>60</v>
      </c>
      <c r="F79" s="108">
        <f>ROUND(+'2006 Stlgt Rates'!F79*(1+$C$3),2)</f>
        <v>9.11</v>
      </c>
      <c r="G79" s="108">
        <f>ROUND(+'2006 Stlgt Rates'!G79*(1+$C$3),2)</f>
        <v>2.5299999999999998</v>
      </c>
      <c r="H79" s="108">
        <f>+I79-F79-G79</f>
        <v>5.9399999999999995</v>
      </c>
      <c r="I79" s="108">
        <f>ROUND(+'2006 Stlgt Rates'!I79*(1+$C$3),2)</f>
        <v>17.579999999999998</v>
      </c>
      <c r="J79" s="79"/>
    </row>
    <row r="80" spans="1:10">
      <c r="B80" s="118" t="s">
        <v>480</v>
      </c>
      <c r="C80" s="106">
        <v>131</v>
      </c>
      <c r="D80" s="105"/>
      <c r="E80" s="113">
        <v>80</v>
      </c>
      <c r="F80" s="108">
        <f>ROUND(+'2006 Stlgt Rates'!F80*(1+$C$3),2)</f>
        <v>12.15</v>
      </c>
      <c r="G80" s="108">
        <f>ROUND(+'2006 Stlgt Rates'!G80*(1+$C$3),2)</f>
        <v>2.5299999999999998</v>
      </c>
      <c r="H80" s="108">
        <f>+I80-F80-G80</f>
        <v>5.93</v>
      </c>
      <c r="I80" s="108">
        <f>ROUND(+'2006 Stlgt Rates'!I80*(1+$C$3),2)</f>
        <v>20.61</v>
      </c>
      <c r="J80" s="79"/>
    </row>
    <row r="81" spans="1:10">
      <c r="B81" s="118" t="s">
        <v>480</v>
      </c>
      <c r="C81" s="106">
        <v>231</v>
      </c>
      <c r="D81" s="105"/>
      <c r="E81" s="113">
        <v>80</v>
      </c>
      <c r="F81" s="108">
        <f>ROUND(+'2006 Stlgt Rates'!F81*(1+$C$3),2)</f>
        <v>12.14</v>
      </c>
      <c r="G81" s="108">
        <f>ROUND(+'2006 Stlgt Rates'!G81*(1+$C$3),2)</f>
        <v>2.5299999999999998</v>
      </c>
      <c r="H81" s="108">
        <f>+I81-F81-G81</f>
        <v>-2.0000000000000018E-2</v>
      </c>
      <c r="I81" s="108">
        <f>ROUND(+'2006 Stlgt Rates'!I81*(1+$C$3),2)</f>
        <v>14.65</v>
      </c>
      <c r="J81" s="79" t="s">
        <v>457</v>
      </c>
    </row>
    <row r="82" spans="1:10">
      <c r="B82" s="105"/>
      <c r="C82" s="109"/>
      <c r="D82" s="105"/>
      <c r="E82" s="113"/>
      <c r="F82" s="108"/>
      <c r="G82" s="108"/>
      <c r="H82" s="108"/>
      <c r="I82" s="108"/>
      <c r="J82" s="79"/>
    </row>
    <row r="83" spans="1:10">
      <c r="A83" s="75" t="s">
        <v>481</v>
      </c>
      <c r="B83" s="110" t="s">
        <v>482</v>
      </c>
      <c r="C83" s="111"/>
      <c r="D83" s="105"/>
      <c r="E83" s="113"/>
      <c r="F83" s="108"/>
      <c r="G83" s="108"/>
      <c r="H83" s="108"/>
      <c r="I83" s="108"/>
      <c r="J83" s="79"/>
    </row>
    <row r="84" spans="1:10">
      <c r="B84" s="105"/>
      <c r="C84" s="109"/>
      <c r="D84" s="105"/>
      <c r="E84" s="113"/>
      <c r="F84" s="108"/>
      <c r="G84" s="108"/>
      <c r="H84" s="108"/>
      <c r="I84" s="108"/>
      <c r="J84" s="79"/>
    </row>
    <row r="85" spans="1:10">
      <c r="B85" s="116" t="s">
        <v>477</v>
      </c>
      <c r="C85" s="117"/>
      <c r="D85" s="105"/>
      <c r="E85" s="113"/>
      <c r="F85" s="108"/>
      <c r="G85" s="108"/>
      <c r="H85" s="108"/>
      <c r="I85" s="108"/>
      <c r="J85" s="79"/>
    </row>
    <row r="86" spans="1:10">
      <c r="B86" s="105"/>
      <c r="C86" s="109"/>
      <c r="D86" s="105"/>
      <c r="E86" s="113"/>
      <c r="F86" s="108"/>
      <c r="G86" s="108"/>
      <c r="H86" s="108"/>
      <c r="I86" s="108"/>
      <c r="J86" s="79"/>
    </row>
    <row r="87" spans="1:10">
      <c r="B87" s="118" t="s">
        <v>483</v>
      </c>
      <c r="C87" s="106">
        <v>123</v>
      </c>
      <c r="D87" s="105"/>
      <c r="E87" s="113">
        <v>32</v>
      </c>
      <c r="F87" s="108">
        <f>ROUND(+'2006 Stlgt Rates'!F87*(1+$C$3),2)</f>
        <v>4.87</v>
      </c>
      <c r="G87" s="108">
        <f>ROUND(+'2006 Stlgt Rates'!G87*(1+$C$3),2)</f>
        <v>1</v>
      </c>
      <c r="H87" s="108">
        <f t="shared" ref="H87:H95" si="2">+I87-F87-G87</f>
        <v>5.94</v>
      </c>
      <c r="I87" s="108">
        <f>ROUND(+'2006 Stlgt Rates'!I87*(1+$C$3),2)</f>
        <v>11.81</v>
      </c>
      <c r="J87" s="79"/>
    </row>
    <row r="88" spans="1:10">
      <c r="B88" s="118" t="s">
        <v>483</v>
      </c>
      <c r="C88" s="106">
        <v>222</v>
      </c>
      <c r="D88" s="105"/>
      <c r="E88" s="113">
        <v>32</v>
      </c>
      <c r="F88" s="108">
        <f>ROUND(+'2006 Stlgt Rates'!F88*(1+$C$3),2)</f>
        <v>4.8600000000000003</v>
      </c>
      <c r="G88" s="108">
        <f>ROUND(+'2006 Stlgt Rates'!G88*(1+$C$3),2)</f>
        <v>1</v>
      </c>
      <c r="H88" s="108">
        <f t="shared" si="2"/>
        <v>0</v>
      </c>
      <c r="I88" s="108">
        <f>ROUND(+'2006 Stlgt Rates'!I88*(1+$C$3),2)</f>
        <v>5.86</v>
      </c>
      <c r="J88" s="79" t="s">
        <v>457</v>
      </c>
    </row>
    <row r="89" spans="1:10">
      <c r="B89" s="118" t="s">
        <v>2</v>
      </c>
      <c r="C89" s="106">
        <v>124</v>
      </c>
      <c r="D89" s="105"/>
      <c r="E89" s="113">
        <v>45</v>
      </c>
      <c r="F89" s="108">
        <f>ROUND(+'2006 Stlgt Rates'!F89*(1+$C$3),2)</f>
        <v>6.84</v>
      </c>
      <c r="G89" s="108">
        <f>ROUND(+'2006 Stlgt Rates'!G89*(1+$C$3),2)</f>
        <v>1</v>
      </c>
      <c r="H89" s="108">
        <f t="shared" si="2"/>
        <v>5.9399999999999995</v>
      </c>
      <c r="I89" s="108">
        <f>ROUND(+'2006 Stlgt Rates'!I89*(1+$C$3),2)</f>
        <v>13.78</v>
      </c>
      <c r="J89" s="79"/>
    </row>
    <row r="90" spans="1:10">
      <c r="B90" s="118" t="s">
        <v>2</v>
      </c>
      <c r="C90" s="106">
        <v>223</v>
      </c>
      <c r="D90" s="105"/>
      <c r="E90" s="113">
        <v>45</v>
      </c>
      <c r="F90" s="108">
        <f>ROUND(+'2006 Stlgt Rates'!F90*(1+$C$3),2)</f>
        <v>6.82</v>
      </c>
      <c r="G90" s="108">
        <f>ROUND(+'2006 Stlgt Rates'!G90*(1+$C$3),2)</f>
        <v>1</v>
      </c>
      <c r="H90" s="108">
        <f t="shared" si="2"/>
        <v>9.9999999999997868E-3</v>
      </c>
      <c r="I90" s="108">
        <f>ROUND(+'2006 Stlgt Rates'!I90*(1+$C$3),2)</f>
        <v>7.83</v>
      </c>
      <c r="J90" s="79" t="s">
        <v>457</v>
      </c>
    </row>
    <row r="91" spans="1:10">
      <c r="B91" s="118" t="s">
        <v>484</v>
      </c>
      <c r="C91" s="106">
        <v>125</v>
      </c>
      <c r="D91" s="105"/>
      <c r="E91" s="113">
        <v>65</v>
      </c>
      <c r="F91" s="108">
        <f>ROUND(+'2006 Stlgt Rates'!F91*(1+$C$3),2)</f>
        <v>9.8800000000000008</v>
      </c>
      <c r="G91" s="108">
        <f>ROUND(+'2006 Stlgt Rates'!G91*(1+$C$3),2)</f>
        <v>1</v>
      </c>
      <c r="H91" s="108">
        <f t="shared" si="2"/>
        <v>5.9499999999999975</v>
      </c>
      <c r="I91" s="108">
        <f>ROUND(+'2006 Stlgt Rates'!I91*(1+$C$3),2)</f>
        <v>16.829999999999998</v>
      </c>
      <c r="J91" s="79"/>
    </row>
    <row r="92" spans="1:10">
      <c r="B92" s="118" t="s">
        <v>484</v>
      </c>
      <c r="C92" s="106">
        <v>224</v>
      </c>
      <c r="D92" s="105"/>
      <c r="E92" s="113">
        <v>65</v>
      </c>
      <c r="F92" s="108">
        <f>ROUND(+'2006 Stlgt Rates'!F92*(1+$C$3),2)</f>
        <v>9.86</v>
      </c>
      <c r="G92" s="108">
        <f>ROUND(+'2006 Stlgt Rates'!G92*(1+$C$3),2)</f>
        <v>1</v>
      </c>
      <c r="H92" s="108">
        <f t="shared" si="2"/>
        <v>0</v>
      </c>
      <c r="I92" s="108">
        <f>ROUND(+'2006 Stlgt Rates'!I92*(1+$C$3),2)</f>
        <v>10.86</v>
      </c>
      <c r="J92" s="79" t="s">
        <v>457</v>
      </c>
    </row>
    <row r="93" spans="1:10">
      <c r="B93" s="118" t="s">
        <v>485</v>
      </c>
      <c r="C93" s="106">
        <v>121</v>
      </c>
      <c r="D93" s="105"/>
      <c r="E93" s="113">
        <v>100</v>
      </c>
      <c r="F93" s="108">
        <f>ROUND(+'2006 Stlgt Rates'!F93*(1+$C$3),2)</f>
        <v>15.18</v>
      </c>
      <c r="G93" s="108">
        <f>ROUND(+'2006 Stlgt Rates'!G93*(1+$C$3),2)</f>
        <v>1</v>
      </c>
      <c r="H93" s="108">
        <f t="shared" si="2"/>
        <v>5.9499999999999993</v>
      </c>
      <c r="I93" s="108">
        <f>ROUND(+'2006 Stlgt Rates'!I93*(1+$C$3),2)</f>
        <v>22.13</v>
      </c>
      <c r="J93" s="79"/>
    </row>
    <row r="94" spans="1:10">
      <c r="B94" s="118" t="s">
        <v>485</v>
      </c>
      <c r="C94" s="106">
        <v>221</v>
      </c>
      <c r="D94" s="105"/>
      <c r="E94" s="113">
        <v>100</v>
      </c>
      <c r="F94" s="108">
        <f>ROUND(+'2006 Stlgt Rates'!F94*(1+$C$3),2)</f>
        <v>15.19</v>
      </c>
      <c r="G94" s="108">
        <f>ROUND(+'2006 Stlgt Rates'!G94*(1+$C$3),2)</f>
        <v>1</v>
      </c>
      <c r="H94" s="108">
        <f t="shared" si="2"/>
        <v>9.9999999999997868E-3</v>
      </c>
      <c r="I94" s="108">
        <f>ROUND(+'2006 Stlgt Rates'!I94*(1+$C$3),2)</f>
        <v>16.2</v>
      </c>
      <c r="J94" s="79" t="s">
        <v>457</v>
      </c>
    </row>
    <row r="95" spans="1:10">
      <c r="B95" s="118" t="s">
        <v>486</v>
      </c>
      <c r="C95" s="106">
        <v>122</v>
      </c>
      <c r="D95" s="105"/>
      <c r="E95" s="113">
        <v>150</v>
      </c>
      <c r="F95" s="108">
        <f>ROUND(+'2006 Stlgt Rates'!F95*(1+$C$3),2)</f>
        <v>22.74</v>
      </c>
      <c r="G95" s="108">
        <f>ROUND(+'2006 Stlgt Rates'!G95*(1+$C$3),2)</f>
        <v>1</v>
      </c>
      <c r="H95" s="108">
        <f t="shared" si="2"/>
        <v>5.9500000000000028</v>
      </c>
      <c r="I95" s="108">
        <f>ROUND(+'2006 Stlgt Rates'!I95*(1+$C$3),2)</f>
        <v>29.69</v>
      </c>
      <c r="J95" s="79"/>
    </row>
    <row r="96" spans="1:10">
      <c r="B96" s="105"/>
      <c r="C96" s="109"/>
      <c r="D96" s="105"/>
      <c r="E96" s="113"/>
      <c r="F96" s="108"/>
      <c r="G96" s="108"/>
      <c r="H96" s="108"/>
      <c r="I96" s="108"/>
      <c r="J96" s="79"/>
    </row>
    <row r="97" spans="1:10">
      <c r="A97" s="75" t="s">
        <v>487</v>
      </c>
      <c r="B97" s="110" t="s">
        <v>488</v>
      </c>
      <c r="C97" s="111"/>
      <c r="D97" s="105"/>
      <c r="E97" s="113"/>
      <c r="F97" s="108"/>
      <c r="G97" s="108"/>
      <c r="H97" s="108"/>
      <c r="I97" s="108"/>
      <c r="J97" s="79"/>
    </row>
    <row r="98" spans="1:10">
      <c r="B98" s="105"/>
      <c r="C98" s="109"/>
      <c r="D98" s="105"/>
      <c r="E98" s="113"/>
      <c r="F98" s="108"/>
      <c r="G98" s="108"/>
      <c r="H98" s="108"/>
      <c r="I98" s="108"/>
      <c r="J98" s="79"/>
    </row>
    <row r="99" spans="1:10">
      <c r="B99" s="116" t="s">
        <v>477</v>
      </c>
      <c r="C99" s="117"/>
      <c r="D99" s="105"/>
      <c r="E99" s="113"/>
      <c r="F99" s="108"/>
      <c r="G99" s="108"/>
      <c r="H99" s="108"/>
      <c r="I99" s="108"/>
      <c r="J99" s="79"/>
    </row>
    <row r="100" spans="1:10">
      <c r="B100" s="105"/>
      <c r="C100" s="109"/>
      <c r="D100" s="105"/>
      <c r="E100" s="113"/>
      <c r="F100" s="108"/>
      <c r="G100" s="108"/>
      <c r="H100" s="108"/>
      <c r="I100" s="108"/>
      <c r="J100" s="79"/>
    </row>
    <row r="101" spans="1:10">
      <c r="B101" s="118" t="s">
        <v>489</v>
      </c>
      <c r="C101" s="106">
        <v>140</v>
      </c>
      <c r="D101" s="105"/>
      <c r="E101" s="113">
        <v>150</v>
      </c>
      <c r="F101" s="108">
        <f>ROUND(+'2006 Stlgt Rates'!F101*(1+$C$3),2)</f>
        <v>22.77</v>
      </c>
      <c r="G101" s="108">
        <f>ROUND(+'2006 Stlgt Rates'!G101*(1+$C$3),2)</f>
        <v>2.97</v>
      </c>
      <c r="H101" s="108">
        <f>+I101-F101-G101</f>
        <v>10.62</v>
      </c>
      <c r="I101" s="108">
        <f>ROUND(+'2006 Stlgt Rates'!I101*(1+$C$3),2)</f>
        <v>36.36</v>
      </c>
      <c r="J101" s="79"/>
    </row>
    <row r="102" spans="1:10">
      <c r="B102" s="118" t="s">
        <v>490</v>
      </c>
      <c r="C102" s="106">
        <v>141</v>
      </c>
      <c r="D102" s="105"/>
      <c r="E102" s="113">
        <v>360</v>
      </c>
      <c r="F102" s="108">
        <f>ROUND(+'2006 Stlgt Rates'!F102*(1+$C$3),2)</f>
        <v>54.62</v>
      </c>
      <c r="G102" s="108">
        <f>ROUND(+'2006 Stlgt Rates'!G102*(1+$C$3),2)</f>
        <v>4.38</v>
      </c>
      <c r="H102" s="108">
        <f>+I102-F102-G102</f>
        <v>15.610000000000003</v>
      </c>
      <c r="I102" s="108">
        <f>ROUND(+'2006 Stlgt Rates'!I102*(1+$C$3),2)</f>
        <v>74.61</v>
      </c>
      <c r="J102" s="79"/>
    </row>
    <row r="103" spans="1:10">
      <c r="B103" s="118" t="s">
        <v>491</v>
      </c>
      <c r="C103" s="106">
        <v>142</v>
      </c>
      <c r="D103" s="105"/>
      <c r="E103" s="113">
        <v>100</v>
      </c>
      <c r="F103" s="108">
        <f>ROUND(+'2006 Stlgt Rates'!F103*(1+$C$3),2)</f>
        <v>11.6</v>
      </c>
      <c r="G103" s="108">
        <f>ROUND(+'2006 Stlgt Rates'!G103*(1+$C$3),2)</f>
        <v>2.97</v>
      </c>
      <c r="H103" s="108">
        <f>+I103-F103-G103</f>
        <v>10.629999999999999</v>
      </c>
      <c r="I103" s="108">
        <f>ROUND(+'2006 Stlgt Rates'!I103*(1+$C$3),2)</f>
        <v>25.2</v>
      </c>
      <c r="J103" s="79"/>
    </row>
    <row r="104" spans="1:10">
      <c r="B104" s="118"/>
      <c r="C104" s="106"/>
      <c r="D104" s="105"/>
      <c r="E104" s="113"/>
      <c r="F104" s="107"/>
      <c r="G104" s="107"/>
      <c r="H104" s="107"/>
      <c r="I104" s="107"/>
      <c r="J104" s="79"/>
    </row>
    <row r="105" spans="1:10">
      <c r="A105" s="75" t="s">
        <v>492</v>
      </c>
      <c r="B105" s="110" t="s">
        <v>493</v>
      </c>
      <c r="C105" s="106"/>
      <c r="D105" s="105"/>
      <c r="E105" s="113"/>
      <c r="F105" s="107"/>
      <c r="G105" s="107"/>
      <c r="H105" s="107"/>
      <c r="I105" s="107"/>
      <c r="J105" s="79"/>
    </row>
    <row r="106" spans="1:10">
      <c r="B106" s="118"/>
      <c r="C106" s="106"/>
      <c r="D106" s="105"/>
      <c r="E106" s="113"/>
      <c r="F106" s="107"/>
      <c r="G106" s="107"/>
      <c r="H106" s="107"/>
      <c r="I106" s="107"/>
      <c r="J106" s="79"/>
    </row>
    <row r="107" spans="1:10">
      <c r="B107" s="116" t="s">
        <v>477</v>
      </c>
      <c r="C107" s="106"/>
      <c r="D107" s="105"/>
      <c r="E107" s="113"/>
      <c r="F107" s="107"/>
      <c r="G107" s="107"/>
      <c r="H107" s="107"/>
      <c r="I107" s="107"/>
      <c r="J107" s="79"/>
    </row>
    <row r="108" spans="1:10">
      <c r="B108" s="118"/>
      <c r="C108" s="106"/>
      <c r="D108" s="105"/>
      <c r="E108" s="113"/>
      <c r="F108" s="107"/>
      <c r="G108" s="107"/>
      <c r="H108" s="107"/>
      <c r="I108" s="107"/>
      <c r="J108" s="79"/>
    </row>
    <row r="109" spans="1:10">
      <c r="B109" s="119">
        <v>4.5999999999999996</v>
      </c>
      <c r="C109" s="106">
        <v>530</v>
      </c>
      <c r="D109" s="105"/>
      <c r="E109" s="113">
        <v>3</v>
      </c>
      <c r="F109" s="230">
        <f>ROUND(+'2006 Stlgt Rates'!F109*(1+$C$3),2)-0.01</f>
        <v>0.27999999999999997</v>
      </c>
      <c r="G109" s="108">
        <f>ROUND(+'2006 Stlgt Rates'!G109*(1+$C$3),2)</f>
        <v>0</v>
      </c>
      <c r="H109" s="108">
        <f>+I109-F109-G109</f>
        <v>0</v>
      </c>
      <c r="I109" s="108">
        <f>+F109</f>
        <v>0.27999999999999997</v>
      </c>
      <c r="J109" s="79" t="s">
        <v>494</v>
      </c>
    </row>
    <row r="110" spans="1:10">
      <c r="B110" s="119">
        <v>7.5</v>
      </c>
      <c r="C110" s="106">
        <v>531</v>
      </c>
      <c r="D110" s="105"/>
      <c r="E110" s="113">
        <v>5</v>
      </c>
      <c r="F110" s="108">
        <f>ROUND(+'2006 Stlgt Rates'!F110*(1+$C$3),2)</f>
        <v>0.48</v>
      </c>
      <c r="G110" s="108">
        <f>ROUND(+'2006 Stlgt Rates'!G110*(1+$C$3),2)</f>
        <v>0</v>
      </c>
      <c r="H110" s="108">
        <f>+I110-F110-G110</f>
        <v>0</v>
      </c>
      <c r="I110" s="108">
        <f>+F110</f>
        <v>0.48</v>
      </c>
      <c r="J110" s="79" t="s">
        <v>495</v>
      </c>
    </row>
    <row r="111" spans="1:10">
      <c r="B111" s="118"/>
      <c r="C111" s="106"/>
      <c r="D111" s="105"/>
      <c r="E111" s="113"/>
      <c r="F111" s="107"/>
      <c r="G111" s="107"/>
      <c r="H111" s="107"/>
      <c r="I111" s="107"/>
      <c r="J111" s="79"/>
    </row>
    <row r="112" spans="1:10">
      <c r="B112" s="118"/>
      <c r="C112" s="106"/>
      <c r="D112" s="105"/>
      <c r="E112" s="113"/>
      <c r="F112" s="107"/>
      <c r="G112" s="107"/>
      <c r="H112" s="107"/>
      <c r="I112" s="107"/>
      <c r="J112" s="79"/>
    </row>
    <row r="113" spans="2:10">
      <c r="B113" s="86" t="s">
        <v>496</v>
      </c>
      <c r="C113" s="87" t="s">
        <v>497</v>
      </c>
      <c r="D113" s="88"/>
      <c r="E113" s="89"/>
      <c r="F113" s="90">
        <f>+'2006 Stlgt Rates'!F113*(1+$C$3)</f>
        <v>0.11783909200000001</v>
      </c>
      <c r="G113" s="91" t="s">
        <v>498</v>
      </c>
      <c r="H113" s="85"/>
      <c r="I113" s="85"/>
      <c r="J113" s="79"/>
    </row>
    <row r="114" spans="2:10">
      <c r="B114" s="83"/>
      <c r="C114" s="84"/>
      <c r="D114" s="79"/>
      <c r="E114" s="81"/>
      <c r="F114" s="85"/>
      <c r="G114" s="85"/>
      <c r="H114" s="85"/>
      <c r="I114" s="85"/>
      <c r="J114" s="79"/>
    </row>
    <row r="115" spans="2:10">
      <c r="B115" s="92" t="s">
        <v>499</v>
      </c>
      <c r="C115" s="93"/>
      <c r="D115" s="93"/>
      <c r="E115" s="93"/>
      <c r="J115" s="79"/>
    </row>
    <row r="116" spans="2:10">
      <c r="B116" s="93"/>
      <c r="C116" s="93"/>
      <c r="D116" s="93"/>
      <c r="E116" s="93"/>
      <c r="J116" s="79"/>
    </row>
    <row r="117" spans="2:10">
      <c r="B117" s="93" t="s">
        <v>450</v>
      </c>
      <c r="C117" s="93"/>
      <c r="D117" s="93"/>
      <c r="E117" s="93"/>
      <c r="J117" s="79"/>
    </row>
    <row r="118" spans="2:10">
      <c r="B118" s="93"/>
      <c r="C118" s="93"/>
      <c r="D118" s="93"/>
      <c r="E118" s="93"/>
      <c r="J118" s="79"/>
    </row>
    <row r="119" spans="2:10">
      <c r="B119" s="93" t="s">
        <v>451</v>
      </c>
      <c r="C119" s="94" t="s">
        <v>500</v>
      </c>
      <c r="D119" s="93"/>
      <c r="E119" s="93">
        <v>97</v>
      </c>
      <c r="F119" s="95">
        <f>+'2006 Stlgt Rates'!F119*(1+$C$3)</f>
        <v>14.715287999999999</v>
      </c>
      <c r="G119" s="95">
        <f>+'2006 Stlgt Rates'!G119*(1+$C$3)</f>
        <v>0</v>
      </c>
      <c r="H119" s="95">
        <f>+I119-F119-G119</f>
        <v>0</v>
      </c>
      <c r="I119" s="95">
        <f>+'2006 Stlgt Rates'!I119*(1+$C$3)</f>
        <v>14.715287999999999</v>
      </c>
      <c r="J119" s="79"/>
    </row>
    <row r="120" spans="2:10">
      <c r="B120" s="93"/>
      <c r="C120" s="96"/>
      <c r="D120" s="93"/>
      <c r="E120" s="93"/>
      <c r="F120" s="77"/>
      <c r="G120" s="77"/>
      <c r="H120" s="77"/>
      <c r="I120" s="77"/>
      <c r="J120" s="79"/>
    </row>
    <row r="121" spans="2:10">
      <c r="B121" s="93" t="s">
        <v>454</v>
      </c>
      <c r="C121" s="96"/>
      <c r="D121" s="93"/>
      <c r="E121" s="93"/>
      <c r="F121" s="77"/>
      <c r="G121" s="77"/>
      <c r="H121" s="77"/>
      <c r="I121" s="77"/>
      <c r="J121" s="79"/>
    </row>
    <row r="122" spans="2:10">
      <c r="B122" s="93"/>
      <c r="C122" s="96"/>
      <c r="D122" s="93"/>
      <c r="E122" s="93"/>
      <c r="F122" s="77"/>
      <c r="G122" s="77"/>
      <c r="H122" s="77"/>
      <c r="I122" s="77"/>
      <c r="J122" s="79"/>
    </row>
    <row r="123" spans="2:10">
      <c r="B123" s="93" t="s">
        <v>456</v>
      </c>
      <c r="C123" s="96">
        <v>301</v>
      </c>
      <c r="D123" s="93"/>
      <c r="E123" s="93">
        <v>52</v>
      </c>
      <c r="F123" s="98">
        <f>+'2006 Stlgt Rates'!F123*(1+$C$3)-0.01</f>
        <v>6.0055108000000006</v>
      </c>
      <c r="G123" s="97">
        <f>+'2006 Stlgt Rates'!G123*(1+$C$3)</f>
        <v>0</v>
      </c>
      <c r="H123" s="97">
        <f>+'2006 Stlgt Rates'!H123*(1+$C$3)</f>
        <v>0</v>
      </c>
      <c r="I123" s="97">
        <f t="shared" ref="I123:I128" si="3">SUM(F123:H123)</f>
        <v>6.0055108000000006</v>
      </c>
      <c r="J123" s="79"/>
    </row>
    <row r="124" spans="2:10">
      <c r="B124" s="93" t="s">
        <v>458</v>
      </c>
      <c r="C124" s="96">
        <v>302</v>
      </c>
      <c r="D124" s="93"/>
      <c r="E124" s="93">
        <v>69</v>
      </c>
      <c r="F124" s="97">
        <f>+'2006 Stlgt Rates'!F124*(1+$C$3)</f>
        <v>7.9882992000000002</v>
      </c>
      <c r="G124" s="97">
        <f>+'2006 Stlgt Rates'!G124*(1+$C$3)</f>
        <v>0</v>
      </c>
      <c r="H124" s="97">
        <f>+'2006 Stlgt Rates'!H124*(1+$C$3)</f>
        <v>0</v>
      </c>
      <c r="I124" s="97">
        <f t="shared" si="3"/>
        <v>7.9882992000000002</v>
      </c>
      <c r="J124" s="79"/>
    </row>
    <row r="125" spans="2:10">
      <c r="B125" s="93" t="s">
        <v>459</v>
      </c>
      <c r="C125" s="96">
        <v>303</v>
      </c>
      <c r="D125" s="93"/>
      <c r="E125" s="93">
        <v>97</v>
      </c>
      <c r="F125" s="97">
        <f>+'2006 Stlgt Rates'!F125*(1+$C$3)</f>
        <v>11.246684399999999</v>
      </c>
      <c r="G125" s="97">
        <f>+'2006 Stlgt Rates'!G125*(1+$C$3)</f>
        <v>0</v>
      </c>
      <c r="H125" s="97">
        <f>+'2006 Stlgt Rates'!H125*(1+$C$3)</f>
        <v>0</v>
      </c>
      <c r="I125" s="97">
        <f t="shared" si="3"/>
        <v>11.246684399999999</v>
      </c>
      <c r="J125" s="79"/>
    </row>
    <row r="126" spans="2:10">
      <c r="B126" s="93" t="s">
        <v>461</v>
      </c>
      <c r="C126" s="96">
        <v>304</v>
      </c>
      <c r="D126" s="93"/>
      <c r="E126" s="93">
        <v>154</v>
      </c>
      <c r="F126" s="97">
        <f>+'2006 Stlgt Rates'!F126*(1+$C$3)</f>
        <v>17.856885199999997</v>
      </c>
      <c r="G126" s="97">
        <f>+'2006 Stlgt Rates'!G126*(1+$C$3)</f>
        <v>0</v>
      </c>
      <c r="H126" s="97">
        <f>+'2006 Stlgt Rates'!H126*(1+$C$3)</f>
        <v>0</v>
      </c>
      <c r="I126" s="97">
        <f t="shared" si="3"/>
        <v>17.856885199999997</v>
      </c>
      <c r="J126" s="79"/>
    </row>
    <row r="127" spans="2:10">
      <c r="B127" s="93" t="s">
        <v>462</v>
      </c>
      <c r="C127" s="96">
        <v>305</v>
      </c>
      <c r="D127" s="93"/>
      <c r="E127" s="93">
        <v>260</v>
      </c>
      <c r="F127" s="98">
        <f>+'2006 Stlgt Rates'!F127*(1+$C$3)-0.01</f>
        <v>30.133911599999998</v>
      </c>
      <c r="G127" s="97">
        <f>+'2006 Stlgt Rates'!G127*(1+$C$3)</f>
        <v>0</v>
      </c>
      <c r="H127" s="97">
        <f>+'2006 Stlgt Rates'!H127*(1+$C$3)</f>
        <v>0</v>
      </c>
      <c r="I127" s="97">
        <f t="shared" si="3"/>
        <v>30.133911599999998</v>
      </c>
      <c r="J127" s="79"/>
    </row>
    <row r="128" spans="2:10">
      <c r="B128" s="93" t="s">
        <v>463</v>
      </c>
      <c r="C128" s="96">
        <v>306</v>
      </c>
      <c r="D128" s="93"/>
      <c r="E128" s="93">
        <v>363</v>
      </c>
      <c r="F128" s="97">
        <f>+'2006 Stlgt Rates'!F128*(1+$C$3)</f>
        <v>42.102073999999995</v>
      </c>
      <c r="G128" s="97">
        <f>+'2006 Stlgt Rates'!G128*(1+$C$3)</f>
        <v>0</v>
      </c>
      <c r="H128" s="97">
        <f>+'2006 Stlgt Rates'!H128*(1+$C$3)</f>
        <v>0</v>
      </c>
      <c r="I128" s="97">
        <f t="shared" si="3"/>
        <v>42.102073999999995</v>
      </c>
      <c r="J128" s="79"/>
    </row>
    <row r="129" spans="2:10">
      <c r="B129" s="93"/>
      <c r="C129" s="96"/>
      <c r="D129" s="93"/>
      <c r="E129" s="93"/>
      <c r="F129" s="77"/>
      <c r="G129" s="77"/>
      <c r="H129" s="77"/>
      <c r="I129" s="77"/>
      <c r="J129" s="79"/>
    </row>
    <row r="130" spans="2:10">
      <c r="B130" s="93" t="s">
        <v>465</v>
      </c>
      <c r="C130" s="96"/>
      <c r="D130" s="93"/>
      <c r="E130" s="93"/>
      <c r="F130" s="77"/>
      <c r="G130" s="77"/>
      <c r="H130" s="77"/>
      <c r="I130" s="77"/>
      <c r="J130" s="79"/>
    </row>
    <row r="131" spans="2:10">
      <c r="B131" s="93"/>
      <c r="C131" s="96"/>
      <c r="D131" s="93"/>
      <c r="E131" s="93"/>
      <c r="F131" s="77"/>
      <c r="G131" s="77"/>
      <c r="H131" s="77"/>
      <c r="I131" s="77"/>
      <c r="J131" s="79"/>
    </row>
    <row r="132" spans="2:10">
      <c r="B132" s="99" t="s">
        <v>466</v>
      </c>
      <c r="C132" s="96"/>
      <c r="D132" s="93"/>
      <c r="E132" s="93"/>
      <c r="F132" s="77"/>
      <c r="G132" s="77"/>
      <c r="H132" s="77"/>
      <c r="I132" s="77"/>
    </row>
    <row r="133" spans="2:10">
      <c r="B133" s="93"/>
      <c r="C133" s="96"/>
      <c r="D133" s="93"/>
      <c r="E133" s="93"/>
      <c r="F133" s="77"/>
      <c r="G133" s="77"/>
      <c r="H133" s="77"/>
      <c r="I133" s="77"/>
    </row>
    <row r="134" spans="2:10">
      <c r="B134" s="93" t="s">
        <v>501</v>
      </c>
      <c r="C134" s="96">
        <v>330</v>
      </c>
      <c r="D134" s="96">
        <v>4</v>
      </c>
      <c r="E134" s="93">
        <v>47</v>
      </c>
      <c r="F134" s="98">
        <f>+'2006 Stlgt Rates'!F134*(1+$C$3)+0.01</f>
        <v>5.4513920000000002</v>
      </c>
      <c r="G134" s="97">
        <f>+'2006 Stlgt Rates'!G134*(1+$C$3)</f>
        <v>0</v>
      </c>
      <c r="H134" s="97">
        <f>+'2006 Stlgt Rates'!H134*(1+$C$3)</f>
        <v>0</v>
      </c>
      <c r="I134" s="97">
        <f>SUM(F134:H134)</f>
        <v>5.4513920000000002</v>
      </c>
    </row>
    <row r="135" spans="2:10">
      <c r="B135" s="93"/>
      <c r="C135" s="96"/>
      <c r="D135" s="93"/>
      <c r="E135" s="93"/>
      <c r="F135" s="77"/>
      <c r="G135" s="77"/>
      <c r="H135" s="77"/>
      <c r="I135" s="77"/>
    </row>
    <row r="136" spans="2:10">
      <c r="B136" s="93" t="s">
        <v>472</v>
      </c>
      <c r="C136" s="96"/>
      <c r="D136" s="93"/>
      <c r="E136" s="93"/>
      <c r="F136" s="77"/>
      <c r="G136" s="77"/>
      <c r="H136" s="77"/>
      <c r="I136" s="77"/>
    </row>
    <row r="137" spans="2:10">
      <c r="B137" s="93"/>
      <c r="C137" s="96"/>
      <c r="D137" s="93"/>
      <c r="E137" s="93"/>
      <c r="F137" s="77"/>
      <c r="G137" s="77"/>
      <c r="H137" s="77"/>
      <c r="I137" s="77"/>
    </row>
    <row r="138" spans="2:10">
      <c r="B138" s="99" t="s">
        <v>466</v>
      </c>
      <c r="C138" s="96"/>
      <c r="D138" s="93"/>
      <c r="E138" s="93"/>
      <c r="F138" s="77"/>
      <c r="G138" s="77"/>
      <c r="H138" s="77"/>
      <c r="I138" s="77"/>
    </row>
    <row r="139" spans="2:10">
      <c r="B139" s="93"/>
      <c r="C139" s="96"/>
      <c r="D139" s="93"/>
      <c r="E139" s="93"/>
      <c r="F139" s="77"/>
      <c r="G139" s="77"/>
      <c r="H139" s="77"/>
      <c r="I139" s="77"/>
    </row>
    <row r="140" spans="2:10">
      <c r="B140" s="100" t="s">
        <v>470</v>
      </c>
      <c r="C140" s="96">
        <v>314</v>
      </c>
      <c r="D140" s="96">
        <v>1</v>
      </c>
      <c r="E140" s="93">
        <v>47</v>
      </c>
      <c r="F140" s="97">
        <f>+'2006 Stlgt Rates'!F140*(1+$C$3)</f>
        <v>5.4539996000000004</v>
      </c>
      <c r="G140" s="97">
        <f>+'2006 Stlgt Rates'!G140*(1+$C$3)</f>
        <v>0</v>
      </c>
      <c r="H140" s="97">
        <f>+'2006 Stlgt Rates'!H140*(1+$C$3)</f>
        <v>0</v>
      </c>
      <c r="I140" s="97">
        <f>+'2006 Stlgt Rates'!I140*(1+$C$3)</f>
        <v>5.4539996000000004</v>
      </c>
    </row>
    <row r="141" spans="2:10">
      <c r="B141" s="100" t="s">
        <v>469</v>
      </c>
      <c r="C141" s="96">
        <v>315</v>
      </c>
      <c r="D141" s="96">
        <v>1</v>
      </c>
      <c r="E141" s="93">
        <v>60</v>
      </c>
      <c r="F141" s="97">
        <f>+'2006 Stlgt Rates'!F141*(1+$C$3)</f>
        <v>6.9605647999999993</v>
      </c>
      <c r="G141" s="97">
        <f>+'2006 Stlgt Rates'!G141*(1+$C$3)</f>
        <v>0</v>
      </c>
      <c r="H141" s="97">
        <f>+'2006 Stlgt Rates'!H141*(1+$C$3)</f>
        <v>0</v>
      </c>
      <c r="I141" s="97">
        <f>+'2006 Stlgt Rates'!I141*(1+$C$3)</f>
        <v>6.9605647999999993</v>
      </c>
    </row>
    <row r="142" spans="2:10">
      <c r="B142" s="93"/>
      <c r="C142" s="96"/>
      <c r="D142" s="93"/>
      <c r="E142" s="93"/>
      <c r="F142" s="77"/>
      <c r="G142" s="77"/>
      <c r="H142" s="77"/>
      <c r="I142" s="77"/>
    </row>
    <row r="143" spans="2:10">
      <c r="B143" s="93" t="s">
        <v>476</v>
      </c>
      <c r="C143" s="96"/>
      <c r="D143" s="93"/>
      <c r="E143" s="93"/>
      <c r="F143" s="77"/>
      <c r="G143" s="77"/>
      <c r="H143" s="77"/>
      <c r="I143" s="77"/>
    </row>
    <row r="144" spans="2:10">
      <c r="B144" s="93"/>
      <c r="C144" s="96"/>
      <c r="D144" s="93"/>
      <c r="E144" s="93"/>
      <c r="F144" s="77"/>
      <c r="G144" s="77"/>
      <c r="H144" s="77"/>
      <c r="I144" s="77"/>
    </row>
    <row r="145" spans="2:9">
      <c r="B145" s="99" t="s">
        <v>477</v>
      </c>
      <c r="C145" s="96"/>
      <c r="D145" s="93"/>
      <c r="E145" s="93"/>
      <c r="F145" s="77"/>
      <c r="G145" s="77"/>
      <c r="H145" s="77"/>
      <c r="I145" s="77"/>
    </row>
    <row r="146" spans="2:9">
      <c r="B146" s="93"/>
      <c r="C146" s="96"/>
      <c r="D146" s="93"/>
      <c r="E146" s="93"/>
      <c r="F146" s="77"/>
      <c r="G146" s="77"/>
      <c r="H146" s="77"/>
      <c r="I146" s="77"/>
    </row>
    <row r="147" spans="2:9">
      <c r="B147" s="100" t="s">
        <v>480</v>
      </c>
      <c r="C147" s="96">
        <v>331</v>
      </c>
      <c r="D147" s="93"/>
      <c r="E147" s="93">
        <v>80</v>
      </c>
      <c r="F147" s="97">
        <f>+'2006 Stlgt Rates'!F147*(1+$C$3)</f>
        <v>9.2729672000000001</v>
      </c>
      <c r="G147" s="97">
        <f>+'2006 Stlgt Rates'!G147*(1+$C$3)</f>
        <v>0</v>
      </c>
      <c r="H147" s="97">
        <f>+'2006 Stlgt Rates'!H147*(1+$C$3)</f>
        <v>0</v>
      </c>
      <c r="I147" s="97">
        <f>+'2006 Stlgt Rates'!I147*(1+$C$3)</f>
        <v>9.2729672000000001</v>
      </c>
    </row>
    <row r="148" spans="2:9">
      <c r="B148" s="93"/>
      <c r="C148" s="96"/>
      <c r="D148" s="93"/>
      <c r="E148" s="93"/>
      <c r="F148" s="77"/>
      <c r="G148" s="77"/>
      <c r="H148" s="77"/>
      <c r="I148" s="77"/>
    </row>
    <row r="149" spans="2:9">
      <c r="B149" s="93" t="s">
        <v>719</v>
      </c>
      <c r="C149" s="96"/>
      <c r="D149" s="93"/>
      <c r="E149" s="93"/>
      <c r="F149" s="77"/>
      <c r="G149" s="77"/>
      <c r="H149" s="77"/>
      <c r="I149" s="77"/>
    </row>
    <row r="150" spans="2:9">
      <c r="B150" s="93"/>
      <c r="C150" s="96"/>
      <c r="D150" s="93"/>
      <c r="E150" s="93"/>
      <c r="F150" s="77"/>
      <c r="G150" s="77"/>
      <c r="H150" s="77"/>
      <c r="I150" s="77"/>
    </row>
    <row r="151" spans="2:9">
      <c r="B151" s="99" t="s">
        <v>477</v>
      </c>
      <c r="C151" s="96"/>
      <c r="D151" s="93"/>
      <c r="E151" s="93"/>
      <c r="F151" s="77"/>
      <c r="G151" s="77"/>
      <c r="H151" s="77"/>
      <c r="I151" s="77"/>
    </row>
    <row r="152" spans="2:9">
      <c r="B152" s="93"/>
      <c r="C152" s="96"/>
      <c r="D152" s="93"/>
      <c r="E152" s="93"/>
      <c r="F152" s="77"/>
      <c r="G152" s="77"/>
      <c r="H152" s="77"/>
      <c r="I152" s="77"/>
    </row>
    <row r="153" spans="2:9">
      <c r="B153" s="198">
        <v>1000</v>
      </c>
      <c r="C153" s="96">
        <v>452</v>
      </c>
      <c r="D153" s="93"/>
      <c r="E153" s="93">
        <v>363</v>
      </c>
      <c r="F153" s="97">
        <f>+'2006 Stlgt Rates'!F153*(1+$C$3)</f>
        <v>42.1137528</v>
      </c>
      <c r="G153" s="97">
        <f>+'2006 Stlgt Rates'!G153*(1+$C$3)</f>
        <v>4.5430532000000001</v>
      </c>
      <c r="H153" s="97">
        <f>+'2006 Stlgt Rates'!H153*(1+$C$3)</f>
        <v>19.246662399999995</v>
      </c>
      <c r="I153" s="97">
        <f>+'2006 Stlgt Rates'!I153*(1+$C$3)</f>
        <v>65.903468399999994</v>
      </c>
    </row>
    <row r="154" spans="2:9">
      <c r="B154" s="93"/>
      <c r="C154" s="96"/>
      <c r="D154" s="93"/>
      <c r="E154" s="93"/>
      <c r="F154" s="77"/>
      <c r="G154" s="77"/>
      <c r="H154" s="77"/>
      <c r="I154" s="77"/>
    </row>
    <row r="155" spans="2:9">
      <c r="B155" s="100" t="s">
        <v>502</v>
      </c>
      <c r="C155" s="96">
        <v>322</v>
      </c>
      <c r="D155" s="93"/>
      <c r="E155" s="93">
        <v>32</v>
      </c>
      <c r="F155" s="98">
        <f>+'2006 Stlgt Rates'!F155*(1+$C$3)+0.01</f>
        <v>3.7229295999999992</v>
      </c>
      <c r="G155" s="97">
        <f>+'2006 Stlgt Rates'!G157*(1+$C$3)</f>
        <v>0</v>
      </c>
      <c r="H155" s="97">
        <f>+'2006 Stlgt Rates'!H157*(1+$C$3)</f>
        <v>0</v>
      </c>
      <c r="I155" s="97">
        <f t="shared" ref="I155:I160" si="4">SUM(F155:H155)</f>
        <v>3.7229295999999992</v>
      </c>
    </row>
    <row r="156" spans="2:9">
      <c r="B156" s="100" t="s">
        <v>2</v>
      </c>
      <c r="C156" s="96">
        <v>323</v>
      </c>
      <c r="D156" s="93"/>
      <c r="E156" s="93">
        <v>45</v>
      </c>
      <c r="F156" s="97">
        <f>+'2006 Stlgt Rates'!F156*(1+$C$3)</f>
        <v>5.2204235999999993</v>
      </c>
      <c r="G156" s="97">
        <f>+'2006 Stlgt Rates'!G158*(1+$C$3)</f>
        <v>0</v>
      </c>
      <c r="H156" s="97">
        <f>+'2006 Stlgt Rates'!H158*(1+$C$3)</f>
        <v>0</v>
      </c>
      <c r="I156" s="97">
        <f t="shared" si="4"/>
        <v>5.2204235999999993</v>
      </c>
    </row>
    <row r="157" spans="2:9">
      <c r="B157" s="100" t="s">
        <v>484</v>
      </c>
      <c r="C157" s="96">
        <v>324</v>
      </c>
      <c r="D157" s="93"/>
      <c r="E157" s="93">
        <v>65</v>
      </c>
      <c r="F157" s="97">
        <f>+'2006 Stlgt Rates'!F157*(1+$C$3)</f>
        <v>7.532826</v>
      </c>
      <c r="G157" s="97">
        <f>+'2006 Stlgt Rates'!G159*(1+$C$3)</f>
        <v>0</v>
      </c>
      <c r="H157" s="97">
        <f>+'2006 Stlgt Rates'!H159*(1+$C$3)</f>
        <v>0</v>
      </c>
      <c r="I157" s="97">
        <f t="shared" si="4"/>
        <v>7.532826</v>
      </c>
    </row>
    <row r="158" spans="2:9">
      <c r="B158" s="100" t="s">
        <v>485</v>
      </c>
      <c r="C158" s="96">
        <v>321</v>
      </c>
      <c r="D158" s="93"/>
      <c r="E158" s="93">
        <v>100</v>
      </c>
      <c r="F158" s="97">
        <f>+'2006 Stlgt Rates'!F158*(1+$C$3)</f>
        <v>11.5970484</v>
      </c>
      <c r="G158" s="97">
        <f>+'2006 Stlgt Rates'!G160*(1+$C$3)</f>
        <v>0</v>
      </c>
      <c r="H158" s="97">
        <f>+'2006 Stlgt Rates'!H160*(1+$C$3)</f>
        <v>0</v>
      </c>
      <c r="I158" s="97">
        <f t="shared" si="4"/>
        <v>11.5970484</v>
      </c>
    </row>
    <row r="159" spans="2:9">
      <c r="B159" s="100" t="s">
        <v>486</v>
      </c>
      <c r="C159" s="96">
        <v>326</v>
      </c>
      <c r="D159" s="93"/>
      <c r="E159" s="93">
        <v>150</v>
      </c>
      <c r="F159" s="98">
        <f>+'2006 Stlgt Rates'!F159*(1+$C$3)-0.01</f>
        <v>17.368983199999995</v>
      </c>
      <c r="G159" s="97">
        <f>+'2006 Stlgt Rates'!G161*(1+$C$3)</f>
        <v>0</v>
      </c>
      <c r="H159" s="97">
        <f>+'2006 Stlgt Rates'!H161*(1+$C$3)</f>
        <v>0</v>
      </c>
      <c r="I159" s="97">
        <f t="shared" si="4"/>
        <v>17.368983199999995</v>
      </c>
    </row>
    <row r="160" spans="2:9">
      <c r="B160" s="101">
        <v>500</v>
      </c>
      <c r="C160" s="96">
        <v>327</v>
      </c>
      <c r="D160" s="93"/>
      <c r="E160" s="93">
        <v>183</v>
      </c>
      <c r="F160" s="97">
        <f>+'2006 Stlgt Rates'!F160*(1+$C$3)</f>
        <v>21.243737200000002</v>
      </c>
      <c r="G160" s="97">
        <f>+'2006 Stlgt Rates'!G162*(1+$C$3)</f>
        <v>0</v>
      </c>
      <c r="H160" s="97">
        <f>+'2006 Stlgt Rates'!H162*(1+$C$3)</f>
        <v>0</v>
      </c>
      <c r="I160" s="97">
        <f t="shared" si="4"/>
        <v>21.243737200000002</v>
      </c>
    </row>
    <row r="161" spans="2:9">
      <c r="B161" s="93"/>
      <c r="C161" s="96"/>
      <c r="D161" s="93"/>
      <c r="E161" s="93"/>
      <c r="F161" s="77"/>
      <c r="G161" s="77"/>
      <c r="H161" s="77"/>
      <c r="I161" s="77"/>
    </row>
    <row r="162" spans="2:9">
      <c r="B162" s="93" t="s">
        <v>488</v>
      </c>
      <c r="C162" s="96"/>
      <c r="D162" s="93"/>
      <c r="E162" s="93"/>
      <c r="F162" s="77"/>
      <c r="G162" s="77"/>
      <c r="H162" s="77"/>
      <c r="I162" s="77"/>
    </row>
    <row r="163" spans="2:9">
      <c r="B163" s="93"/>
      <c r="C163" s="96"/>
      <c r="D163" s="93"/>
      <c r="E163" s="93"/>
      <c r="F163" s="77"/>
      <c r="G163" s="77"/>
      <c r="H163" s="77"/>
      <c r="I163" s="77"/>
    </row>
    <row r="164" spans="2:9">
      <c r="B164" s="99" t="s">
        <v>477</v>
      </c>
      <c r="C164" s="96"/>
      <c r="D164" s="93"/>
      <c r="E164" s="93"/>
      <c r="F164" s="77"/>
      <c r="G164" s="77"/>
      <c r="H164" s="77"/>
      <c r="I164" s="77"/>
    </row>
    <row r="165" spans="2:9">
      <c r="B165" s="93"/>
      <c r="C165" s="96"/>
      <c r="D165" s="93"/>
      <c r="E165" s="93"/>
      <c r="F165" s="77"/>
      <c r="G165" s="77"/>
      <c r="H165" s="77"/>
      <c r="I165" s="77"/>
    </row>
    <row r="166" spans="2:9">
      <c r="B166" s="100" t="s">
        <v>484</v>
      </c>
      <c r="C166" s="96">
        <v>143</v>
      </c>
      <c r="D166" s="93"/>
      <c r="E166" s="93">
        <v>67</v>
      </c>
      <c r="F166" s="97">
        <f>+'2006 Stlgt Rates'!F166*(1+$C$3)</f>
        <v>7.754723199999999</v>
      </c>
      <c r="G166" s="97">
        <f>+'2006 Stlgt Rates'!G166*(1+$C$3)</f>
        <v>2.9664152000000001</v>
      </c>
      <c r="H166" s="97">
        <f>+'2006 Stlgt Rates'!H166*(1+$C$3)</f>
        <v>10.627707999999998</v>
      </c>
      <c r="I166" s="97">
        <f>SUM(F166:H166)</f>
        <v>21.348846399999999</v>
      </c>
    </row>
    <row r="167" spans="2:9">
      <c r="B167" s="93"/>
      <c r="C167" s="96"/>
      <c r="D167" s="93"/>
      <c r="E167" s="93"/>
      <c r="F167" s="77"/>
      <c r="G167" s="77"/>
      <c r="H167" s="77"/>
      <c r="I167" s="77"/>
    </row>
    <row r="168" spans="2:9">
      <c r="B168" s="100" t="s">
        <v>485</v>
      </c>
      <c r="C168" s="96">
        <v>343</v>
      </c>
      <c r="D168" s="93"/>
      <c r="E168" s="93">
        <v>100</v>
      </c>
      <c r="F168" s="97">
        <f>+'2006 Stlgt Rates'!F168*(1+$C$3)</f>
        <v>11.5970484</v>
      </c>
      <c r="G168" s="97">
        <f>+'2006 Stlgt Rates'!G168*(1+$C$3)</f>
        <v>0</v>
      </c>
      <c r="H168" s="97">
        <f>+'2006 Stlgt Rates'!H168*(1+$C$3)</f>
        <v>0</v>
      </c>
      <c r="I168" s="97">
        <f>SUM(F168:H168)</f>
        <v>11.5970484</v>
      </c>
    </row>
    <row r="169" spans="2:9">
      <c r="B169" s="100" t="s">
        <v>486</v>
      </c>
      <c r="C169" s="96">
        <v>342</v>
      </c>
      <c r="D169" s="93"/>
      <c r="E169" s="93">
        <v>150</v>
      </c>
      <c r="F169" s="98">
        <f>+'2006 Stlgt Rates'!F169*(1+$C$3)-0.01</f>
        <v>17.368983199999995</v>
      </c>
      <c r="G169" s="97">
        <f>+'2006 Stlgt Rates'!G169*(1+$C$3)</f>
        <v>0</v>
      </c>
      <c r="H169" s="97">
        <f>+'2006 Stlgt Rates'!H169*(1+$C$3)</f>
        <v>0</v>
      </c>
      <c r="I169" s="97">
        <f>SUM(F169:H169)</f>
        <v>17.368983199999995</v>
      </c>
    </row>
    <row r="170" spans="2:9">
      <c r="B170" s="100" t="s">
        <v>490</v>
      </c>
      <c r="C170" s="96">
        <v>341</v>
      </c>
      <c r="D170" s="93"/>
      <c r="E170" s="93">
        <v>360</v>
      </c>
      <c r="F170" s="98">
        <f>+'2006 Stlgt Rates'!F170*(1+$C$3)-0.01</f>
        <v>41.730960000000003</v>
      </c>
      <c r="G170" s="97">
        <f>+'2006 Stlgt Rates'!G170*(1+$C$3)</f>
        <v>0</v>
      </c>
      <c r="H170" s="97">
        <f>+'2006 Stlgt Rates'!H170*(1+$C$3)</f>
        <v>0</v>
      </c>
      <c r="I170" s="97">
        <f>SUM(F170:H170)</f>
        <v>41.730960000000003</v>
      </c>
    </row>
    <row r="171" spans="2:9">
      <c r="B171" s="101">
        <v>175</v>
      </c>
      <c r="C171" s="96">
        <v>344</v>
      </c>
      <c r="D171" s="93"/>
      <c r="E171" s="93">
        <v>75</v>
      </c>
      <c r="F171" s="97">
        <f>+'2006 Stlgt Rates'!F171*(1+$C$3)</f>
        <v>8.7007060000000003</v>
      </c>
      <c r="G171" s="97">
        <f>+'2006 Stlgt Rates'!G171*(1+$C$3)</f>
        <v>0</v>
      </c>
      <c r="H171" s="97">
        <f>+'2006 Stlgt Rates'!H171*(1+$C$3)</f>
        <v>0</v>
      </c>
      <c r="I171" s="97">
        <f>SUM(F171:H171)</f>
        <v>8.7007060000000003</v>
      </c>
    </row>
    <row r="172" spans="2:9">
      <c r="B172" s="101">
        <v>150</v>
      </c>
      <c r="C172" s="96">
        <v>345</v>
      </c>
      <c r="D172" s="93"/>
      <c r="E172" s="93">
        <v>67</v>
      </c>
      <c r="F172" s="97">
        <f>+'2006 Stlgt Rates'!F172*(1+$C$3)</f>
        <v>7.754723199999999</v>
      </c>
      <c r="G172" s="97">
        <f>+'2006 Stlgt Rates'!G172*(1+$C$3)</f>
        <v>0</v>
      </c>
      <c r="H172" s="97">
        <f>+'2006 Stlgt Rates'!H172*(1+$C$3)</f>
        <v>0</v>
      </c>
      <c r="I172" s="97">
        <f>SUM(F172:H172)</f>
        <v>7.754723199999999</v>
      </c>
    </row>
    <row r="173" spans="2:9" ht="15.75" thickBot="1"/>
    <row r="174" spans="2:9" ht="15.75" thickBot="1">
      <c r="B174" s="103" t="s">
        <v>503</v>
      </c>
      <c r="C174" s="104">
        <f>COUNT(C14:C172)</f>
        <v>78</v>
      </c>
    </row>
  </sheetData>
  <phoneticPr fontId="20" type="noConversion"/>
  <printOptions horizontalCentered="1"/>
  <pageMargins left="0.75" right="0.75" top="0.75" bottom="0.75" header="0.5" footer="0.5"/>
  <pageSetup scale="90" fitToHeight="3" orientation="landscape" verticalDpi="1200" r:id="rId1"/>
  <headerFooter alignWithMargins="0"/>
  <rowBreaks count="7" manualBreakCount="7">
    <brk id="33" max="9" man="1"/>
    <brk id="51" max="9" man="1"/>
    <brk id="73" max="9" man="1"/>
    <brk id="96" max="9" man="1"/>
    <brk id="120" max="9" man="1"/>
    <brk id="142" max="9" man="1"/>
    <brk id="161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"/>
  <sheetViews>
    <sheetView zoomScale="87" zoomScaleNormal="87" workbookViewId="0"/>
  </sheetViews>
  <sheetFormatPr defaultRowHeight="15"/>
  <cols>
    <col min="1" max="1" width="26" customWidth="1"/>
    <col min="2" max="3" width="8.33203125" customWidth="1"/>
    <col min="4" max="4" width="9.88671875" customWidth="1"/>
    <col min="5" max="6" width="8.33203125" customWidth="1"/>
    <col min="7" max="7" width="9.88671875" customWidth="1"/>
    <col min="8" max="9" width="8.33203125" customWidth="1"/>
    <col min="10" max="11" width="9.88671875" customWidth="1"/>
    <col min="12" max="12" width="2.44140625" customWidth="1"/>
    <col min="13" max="16" width="12.21875" customWidth="1"/>
    <col min="17" max="17" width="3" customWidth="1"/>
    <col min="18" max="21" width="9.88671875" customWidth="1"/>
  </cols>
  <sheetData>
    <row r="1" spans="1:21" ht="18">
      <c r="A1" s="120" t="s">
        <v>601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21" ht="18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21" ht="15.75">
      <c r="A3" s="122" t="s">
        <v>504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M3" s="122" t="s">
        <v>504</v>
      </c>
      <c r="N3" s="124"/>
      <c r="O3" s="124"/>
      <c r="P3" s="124"/>
    </row>
    <row r="4" spans="1:21" ht="15.75" customHeight="1">
      <c r="A4" s="123" t="s">
        <v>505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M4" s="123" t="s">
        <v>506</v>
      </c>
      <c r="N4" s="124"/>
      <c r="O4" s="124"/>
      <c r="P4" s="124"/>
    </row>
    <row r="5" spans="1:21" ht="15.75">
      <c r="A5" s="123" t="s">
        <v>507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21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2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2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21">
      <c r="A9" s="126"/>
      <c r="B9" s="127" t="s">
        <v>508</v>
      </c>
      <c r="C9" s="128"/>
      <c r="D9" s="129"/>
      <c r="E9" s="127" t="s">
        <v>509</v>
      </c>
      <c r="F9" s="128"/>
      <c r="G9" s="129"/>
      <c r="H9" s="127" t="s">
        <v>510</v>
      </c>
      <c r="I9" s="128"/>
      <c r="J9" s="130"/>
      <c r="K9" s="131" t="s">
        <v>33</v>
      </c>
      <c r="O9" s="132" t="s">
        <v>511</v>
      </c>
      <c r="P9" s="132" t="s">
        <v>511</v>
      </c>
      <c r="R9" s="127" t="s">
        <v>512</v>
      </c>
      <c r="S9" s="128"/>
      <c r="T9" s="130"/>
    </row>
    <row r="10" spans="1:21">
      <c r="A10" s="126"/>
      <c r="B10" s="131" t="s">
        <v>513</v>
      </c>
      <c r="C10" s="131" t="s">
        <v>514</v>
      </c>
      <c r="D10" s="131" t="s">
        <v>515</v>
      </c>
      <c r="E10" s="131" t="s">
        <v>513</v>
      </c>
      <c r="F10" s="131" t="s">
        <v>514</v>
      </c>
      <c r="G10" s="131" t="s">
        <v>515</v>
      </c>
      <c r="H10" s="131" t="s">
        <v>513</v>
      </c>
      <c r="I10" s="131" t="s">
        <v>514</v>
      </c>
      <c r="J10" s="131" t="s">
        <v>515</v>
      </c>
      <c r="K10" s="131" t="s">
        <v>515</v>
      </c>
      <c r="M10" s="131" t="s">
        <v>514</v>
      </c>
      <c r="N10" s="133" t="s">
        <v>516</v>
      </c>
      <c r="O10" s="134" t="s">
        <v>517</v>
      </c>
      <c r="P10" s="134" t="s">
        <v>517</v>
      </c>
      <c r="R10" s="131" t="s">
        <v>513</v>
      </c>
      <c r="S10" s="131" t="s">
        <v>514</v>
      </c>
      <c r="T10" s="131" t="s">
        <v>515</v>
      </c>
      <c r="U10" s="131" t="s">
        <v>518</v>
      </c>
    </row>
    <row r="11" spans="1:2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>
      <c r="A12" s="135" t="s">
        <v>519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M12" s="105"/>
      <c r="N12" s="105"/>
      <c r="O12" s="105"/>
      <c r="P12" s="105"/>
      <c r="Q12" s="105"/>
      <c r="R12" s="105"/>
      <c r="S12" s="105"/>
      <c r="T12" s="105"/>
      <c r="U12" s="105"/>
    </row>
    <row r="13" spans="1:2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M13" s="105"/>
      <c r="N13" s="105"/>
      <c r="O13" s="105"/>
      <c r="P13" s="105"/>
      <c r="Q13" s="105"/>
      <c r="R13" s="105"/>
      <c r="S13" s="105"/>
      <c r="T13" s="105"/>
      <c r="U13" s="105"/>
    </row>
    <row r="14" spans="1:21">
      <c r="A14" s="136" t="s">
        <v>520</v>
      </c>
      <c r="B14" s="137">
        <f>+'2005 Stlgt Rates'!F14</f>
        <v>12.6</v>
      </c>
      <c r="C14" s="138">
        <f>+'Schedule 1'!C9</f>
        <v>31</v>
      </c>
      <c r="D14" s="139">
        <f>ROUND(B14*C14*12,0)</f>
        <v>4687</v>
      </c>
      <c r="E14" s="137">
        <f>+'2005 Stlgt Rates'!G14</f>
        <v>1.07</v>
      </c>
      <c r="F14" s="138">
        <f>+C14</f>
        <v>31</v>
      </c>
      <c r="G14" s="139">
        <f>ROUND(E14*F14*12,0)</f>
        <v>398</v>
      </c>
      <c r="H14" s="137">
        <f>+'2005 Stlgt Rates'!H14</f>
        <v>3.51</v>
      </c>
      <c r="I14" s="138">
        <f>+F14</f>
        <v>31</v>
      </c>
      <c r="J14" s="139">
        <f>ROUND(H14*I14*12,0)</f>
        <v>1306</v>
      </c>
      <c r="K14" s="139">
        <f>+D14+G14+J14</f>
        <v>6391</v>
      </c>
      <c r="M14" s="165">
        <f>+I14</f>
        <v>31</v>
      </c>
      <c r="N14" s="165">
        <v>97</v>
      </c>
      <c r="O14" s="165">
        <f>M14*N14</f>
        <v>3007</v>
      </c>
      <c r="P14" s="166">
        <f>O14*12</f>
        <v>36084</v>
      </c>
      <c r="Q14" s="105"/>
      <c r="R14" s="107">
        <v>9.6199999999999992</v>
      </c>
      <c r="S14" s="166">
        <f>+M14</f>
        <v>31</v>
      </c>
      <c r="T14" s="139">
        <f>R14*S14*12</f>
        <v>3578.6399999999994</v>
      </c>
      <c r="U14" s="167">
        <f>T14-D14</f>
        <v>-1108.3600000000006</v>
      </c>
    </row>
    <row r="15" spans="1:21">
      <c r="A15" s="136" t="s">
        <v>521</v>
      </c>
      <c r="B15" s="141">
        <f>+'2005 Stlgt Rates'!F15</f>
        <v>20</v>
      </c>
      <c r="C15" s="138">
        <f>+'Schedule 1'!C10</f>
        <v>3</v>
      </c>
      <c r="D15" s="138">
        <f>ROUND(B15*C15*12,0)</f>
        <v>720</v>
      </c>
      <c r="E15" s="141">
        <f>+'2005 Stlgt Rates'!G15</f>
        <v>1.07</v>
      </c>
      <c r="F15" s="138">
        <f>+C15</f>
        <v>3</v>
      </c>
      <c r="G15" s="138">
        <f>ROUND(E15*F15*12,0)</f>
        <v>39</v>
      </c>
      <c r="H15" s="141">
        <f>+'2005 Stlgt Rates'!H15</f>
        <v>3.84</v>
      </c>
      <c r="I15" s="138">
        <f>+F15</f>
        <v>3</v>
      </c>
      <c r="J15" s="138">
        <f>ROUND(H15*I15*12,0)</f>
        <v>138</v>
      </c>
      <c r="K15" s="138">
        <f>+D15+G15+J15</f>
        <v>897</v>
      </c>
      <c r="M15" s="165">
        <f>+I15</f>
        <v>3</v>
      </c>
      <c r="N15" s="165">
        <v>154</v>
      </c>
      <c r="O15" s="165">
        <f>M15*N15</f>
        <v>462</v>
      </c>
      <c r="P15" s="166">
        <f>O15*12</f>
        <v>5544</v>
      </c>
      <c r="Q15" s="105"/>
      <c r="R15" s="108">
        <v>15.29</v>
      </c>
      <c r="S15" s="166">
        <f>+M15</f>
        <v>3</v>
      </c>
      <c r="T15" s="138">
        <f>R15*S15*12</f>
        <v>550.43999999999994</v>
      </c>
      <c r="U15" s="165">
        <f>T15-D15</f>
        <v>-169.56000000000006</v>
      </c>
    </row>
    <row r="16" spans="1:21">
      <c r="A16" s="126"/>
      <c r="B16" s="141"/>
      <c r="C16" s="138"/>
      <c r="D16" s="138"/>
      <c r="E16" s="141"/>
      <c r="F16" s="138"/>
      <c r="G16" s="138"/>
      <c r="H16" s="141"/>
      <c r="I16" s="138"/>
      <c r="J16" s="138"/>
      <c r="K16" s="138"/>
      <c r="M16" s="165"/>
      <c r="N16" s="165"/>
      <c r="O16" s="105"/>
      <c r="P16" s="105"/>
      <c r="Q16" s="105"/>
      <c r="R16" s="105"/>
      <c r="S16" s="105"/>
      <c r="T16" s="105"/>
      <c r="U16" s="165"/>
    </row>
    <row r="17" spans="1:21">
      <c r="A17" s="142" t="s">
        <v>522</v>
      </c>
      <c r="B17" s="143">
        <f>+'2005 Stlgt Rates'!F119</f>
        <v>12.6</v>
      </c>
      <c r="C17" s="144">
        <f>+'Schedule 1'!E9</f>
        <v>7</v>
      </c>
      <c r="D17" s="144">
        <f>ROUND(B17*C17*12,0)</f>
        <v>1058</v>
      </c>
      <c r="E17" s="143">
        <f>+'2005 Stlgt Rates'!G119</f>
        <v>0</v>
      </c>
      <c r="F17" s="144">
        <f>+C17</f>
        <v>7</v>
      </c>
      <c r="G17" s="144">
        <f>ROUND(E17*F17*12,0)</f>
        <v>0</v>
      </c>
      <c r="H17" s="143">
        <f>+'2005 Stlgt Rates'!H119</f>
        <v>0</v>
      </c>
      <c r="I17" s="144">
        <f>+F17</f>
        <v>7</v>
      </c>
      <c r="J17" s="144">
        <f>ROUND(H17*I17*12,0)</f>
        <v>0</v>
      </c>
      <c r="K17" s="144">
        <f>+D17+G17+J17</f>
        <v>1058</v>
      </c>
      <c r="M17" s="145">
        <v>7</v>
      </c>
      <c r="N17" s="145">
        <v>97</v>
      </c>
      <c r="O17" s="145">
        <f>M17*N17</f>
        <v>679</v>
      </c>
      <c r="P17" s="146">
        <f>O17*12</f>
        <v>8148</v>
      </c>
      <c r="Q17" s="105"/>
      <c r="R17" s="97">
        <v>9.6199999999999992</v>
      </c>
      <c r="S17" s="147">
        <f>+M17</f>
        <v>7</v>
      </c>
      <c r="T17" s="144">
        <f>R17*S17*12</f>
        <v>808.07999999999993</v>
      </c>
      <c r="U17" s="148">
        <f>T17-D17</f>
        <v>-249.92000000000007</v>
      </c>
    </row>
    <row r="18" spans="1:21">
      <c r="A18" s="126"/>
      <c r="B18" s="141"/>
      <c r="C18" s="138"/>
      <c r="D18" s="138"/>
      <c r="E18" s="141"/>
      <c r="F18" s="138"/>
      <c r="G18" s="138"/>
      <c r="H18" s="141"/>
      <c r="I18" s="138"/>
      <c r="J18" s="138"/>
      <c r="K18" s="138"/>
      <c r="M18" s="165"/>
      <c r="N18" s="165"/>
      <c r="O18" s="105"/>
      <c r="P18" s="105"/>
      <c r="Q18" s="105"/>
      <c r="R18" s="105"/>
      <c r="S18" s="105"/>
      <c r="T18" s="105"/>
      <c r="U18" s="165"/>
    </row>
    <row r="19" spans="1:21">
      <c r="A19" s="149" t="s">
        <v>33</v>
      </c>
      <c r="B19" s="141"/>
      <c r="C19" s="150">
        <f>+C14+C15+C17</f>
        <v>41</v>
      </c>
      <c r="D19" s="151">
        <f>+D14+D15+D17</f>
        <v>6465</v>
      </c>
      <c r="E19" s="141"/>
      <c r="F19" s="151">
        <f>+F14+F15+F17</f>
        <v>41</v>
      </c>
      <c r="G19" s="151">
        <f>+G14+G15+G17</f>
        <v>437</v>
      </c>
      <c r="H19" s="141"/>
      <c r="I19" s="151">
        <f>+I14+I15+I17</f>
        <v>41</v>
      </c>
      <c r="J19" s="151">
        <f>+J14+J15+J17</f>
        <v>1444</v>
      </c>
      <c r="K19" s="151">
        <f>+K14+K15+K17</f>
        <v>8346</v>
      </c>
      <c r="M19" s="165">
        <f>SUM(M14:M18)</f>
        <v>41</v>
      </c>
      <c r="N19" s="165"/>
      <c r="O19" s="165">
        <f>SUM(O14:O18)</f>
        <v>4148</v>
      </c>
      <c r="P19" s="165">
        <f>SUM(P14:P18)</f>
        <v>49776</v>
      </c>
      <c r="Q19" s="105"/>
      <c r="R19" s="151"/>
      <c r="S19" s="151">
        <f>SUM(S14:S18)</f>
        <v>41</v>
      </c>
      <c r="T19" s="151">
        <f>SUM(T14:T18)</f>
        <v>4937.1599999999989</v>
      </c>
      <c r="U19" s="220">
        <f>SUM(U14:U18)</f>
        <v>-1527.8400000000006</v>
      </c>
    </row>
    <row r="20" spans="1:21">
      <c r="A20" s="126"/>
      <c r="B20" s="141"/>
      <c r="C20" s="138"/>
      <c r="D20" s="138"/>
      <c r="E20" s="141"/>
      <c r="F20" s="138"/>
      <c r="G20" s="138"/>
      <c r="H20" s="141"/>
      <c r="I20" s="138"/>
      <c r="J20" s="138"/>
      <c r="K20" s="138"/>
      <c r="M20" s="165"/>
      <c r="N20" s="165"/>
      <c r="O20" s="105"/>
      <c r="P20" s="105"/>
      <c r="Q20" s="105"/>
      <c r="R20" s="105"/>
      <c r="S20" s="105"/>
      <c r="T20" s="105"/>
      <c r="U20" s="165"/>
    </row>
    <row r="21" spans="1:21">
      <c r="A21" s="126"/>
      <c r="B21" s="141"/>
      <c r="C21" s="138"/>
      <c r="D21" s="138"/>
      <c r="E21" s="141"/>
      <c r="F21" s="138"/>
      <c r="G21" s="138"/>
      <c r="H21" s="141"/>
      <c r="I21" s="138"/>
      <c r="J21" s="138"/>
      <c r="K21" s="138"/>
      <c r="M21" s="165"/>
      <c r="N21" s="165"/>
      <c r="O21" s="105"/>
      <c r="P21" s="105"/>
      <c r="Q21" s="105"/>
      <c r="R21" s="105"/>
      <c r="S21" s="105"/>
      <c r="T21" s="105"/>
      <c r="U21" s="165"/>
    </row>
    <row r="22" spans="1:21">
      <c r="A22" s="135" t="s">
        <v>523</v>
      </c>
      <c r="B22" s="141"/>
      <c r="C22" s="138"/>
      <c r="D22" s="138"/>
      <c r="E22" s="141"/>
      <c r="F22" s="138"/>
      <c r="G22" s="138"/>
      <c r="H22" s="141"/>
      <c r="I22" s="138"/>
      <c r="J22" s="138"/>
      <c r="K22" s="138"/>
      <c r="M22" s="165"/>
      <c r="N22" s="165"/>
      <c r="O22" s="105"/>
      <c r="P22" s="105"/>
      <c r="Q22" s="105"/>
      <c r="R22" s="105"/>
      <c r="S22" s="105"/>
      <c r="T22" s="105"/>
      <c r="U22" s="165"/>
    </row>
    <row r="23" spans="1:21">
      <c r="A23" s="126"/>
      <c r="B23" s="141"/>
      <c r="C23" s="138"/>
      <c r="D23" s="138"/>
      <c r="E23" s="141"/>
      <c r="F23" s="138"/>
      <c r="G23" s="138"/>
      <c r="H23" s="141"/>
      <c r="I23" s="138"/>
      <c r="J23" s="138"/>
      <c r="K23" s="138"/>
      <c r="M23" s="165"/>
      <c r="N23" s="165"/>
      <c r="O23" s="105"/>
      <c r="P23" s="105"/>
      <c r="Q23" s="105"/>
      <c r="R23" s="105"/>
      <c r="S23" s="105"/>
      <c r="T23" s="105"/>
      <c r="U23" s="165"/>
    </row>
    <row r="24" spans="1:21">
      <c r="A24" s="136" t="s">
        <v>524</v>
      </c>
      <c r="B24" s="141">
        <f>+'2005 Stlgt Rates'!F19</f>
        <v>5.6</v>
      </c>
      <c r="C24" s="138">
        <f>+'Schedule 1'!C13</f>
        <v>269</v>
      </c>
      <c r="D24" s="138">
        <f t="shared" ref="D24:D31" si="0">ROUND(B24*C24*12,0)</f>
        <v>18077</v>
      </c>
      <c r="E24" s="141">
        <f>+'2005 Stlgt Rates'!G19</f>
        <v>1.07</v>
      </c>
      <c r="F24" s="138">
        <f>+C24</f>
        <v>269</v>
      </c>
      <c r="G24" s="138">
        <f t="shared" ref="G24:G31" si="1">ROUND(E24*F24*12,0)</f>
        <v>3454</v>
      </c>
      <c r="H24" s="141">
        <f>+'2005 Stlgt Rates'!H19</f>
        <v>3.13</v>
      </c>
      <c r="I24" s="138">
        <f>+F24</f>
        <v>269</v>
      </c>
      <c r="J24" s="138">
        <f t="shared" ref="J24:J31" si="2">ROUND(H24*I24*12,0)</f>
        <v>10104</v>
      </c>
      <c r="K24" s="138">
        <f t="shared" ref="K24:K31" si="3">+D24+G24+J24</f>
        <v>31635</v>
      </c>
      <c r="M24" s="165">
        <f>+I24</f>
        <v>269</v>
      </c>
      <c r="N24" s="165">
        <v>43</v>
      </c>
      <c r="O24" s="165">
        <f>M24*N24</f>
        <v>11567</v>
      </c>
      <c r="P24" s="166">
        <f>O24*12</f>
        <v>138804</v>
      </c>
      <c r="Q24" s="105"/>
      <c r="R24" s="108">
        <v>4.28</v>
      </c>
      <c r="S24" s="166">
        <f t="shared" ref="S24:S31" si="4">+M24</f>
        <v>269</v>
      </c>
      <c r="T24" s="138">
        <f>R24*S24*12</f>
        <v>13815.840000000002</v>
      </c>
      <c r="U24" s="165">
        <f>+T24-D24</f>
        <v>-4261.159999999998</v>
      </c>
    </row>
    <row r="25" spans="1:21">
      <c r="A25" s="136" t="s">
        <v>525</v>
      </c>
      <c r="B25" s="141">
        <f>+'2005 Stlgt Rates'!F20</f>
        <v>6.75</v>
      </c>
      <c r="C25" s="138">
        <f>+'Schedule 1'!C14</f>
        <v>11962</v>
      </c>
      <c r="D25" s="138">
        <f t="shared" si="0"/>
        <v>968922</v>
      </c>
      <c r="E25" s="141">
        <f>+'2005 Stlgt Rates'!G20</f>
        <v>1.42</v>
      </c>
      <c r="F25" s="138">
        <f t="shared" ref="F25:F38" si="5">+C25</f>
        <v>11962</v>
      </c>
      <c r="G25" s="138">
        <f t="shared" si="1"/>
        <v>203832</v>
      </c>
      <c r="H25" s="141">
        <f>+'2005 Stlgt Rates'!H20</f>
        <v>3.16</v>
      </c>
      <c r="I25" s="138">
        <f t="shared" ref="I25:I38" si="6">+F25</f>
        <v>11962</v>
      </c>
      <c r="J25" s="138">
        <f t="shared" si="2"/>
        <v>453599</v>
      </c>
      <c r="K25" s="138">
        <f t="shared" si="3"/>
        <v>1626353</v>
      </c>
      <c r="M25" s="165">
        <f t="shared" ref="M25:M38" si="7">+I25</f>
        <v>11962</v>
      </c>
      <c r="N25" s="165">
        <v>52</v>
      </c>
      <c r="O25" s="165">
        <f t="shared" ref="O25:O31" si="8">M25*N25</f>
        <v>622024</v>
      </c>
      <c r="P25" s="166">
        <f t="shared" ref="P25:P38" si="9">O25*12</f>
        <v>7464288</v>
      </c>
      <c r="Q25" s="105"/>
      <c r="R25" s="108">
        <v>5.16</v>
      </c>
      <c r="S25" s="166">
        <f t="shared" si="4"/>
        <v>11962</v>
      </c>
      <c r="T25" s="138">
        <f t="shared" ref="T25:T31" si="10">R25*S25*12</f>
        <v>740687.04</v>
      </c>
      <c r="U25" s="165">
        <f t="shared" ref="U25:U31" si="11">+T25-D25</f>
        <v>-228234.95999999996</v>
      </c>
    </row>
    <row r="26" spans="1:21">
      <c r="A26" s="136" t="s">
        <v>526</v>
      </c>
      <c r="B26" s="141">
        <f>+'2005 Stlgt Rates'!F22</f>
        <v>8.98</v>
      </c>
      <c r="C26" s="138">
        <f>+'Schedule 1'!C15</f>
        <v>3150</v>
      </c>
      <c r="D26" s="138">
        <f t="shared" si="0"/>
        <v>339444</v>
      </c>
      <c r="E26" s="141">
        <f>+'2005 Stlgt Rates'!G22</f>
        <v>1.07</v>
      </c>
      <c r="F26" s="138">
        <f t="shared" si="5"/>
        <v>3150</v>
      </c>
      <c r="G26" s="138">
        <f t="shared" si="1"/>
        <v>40446</v>
      </c>
      <c r="H26" s="141">
        <f>+'2005 Stlgt Rates'!H22</f>
        <v>3.3</v>
      </c>
      <c r="I26" s="138">
        <f t="shared" si="6"/>
        <v>3150</v>
      </c>
      <c r="J26" s="138">
        <f t="shared" si="2"/>
        <v>124740</v>
      </c>
      <c r="K26" s="138">
        <f t="shared" si="3"/>
        <v>504630</v>
      </c>
      <c r="M26" s="165">
        <f t="shared" si="7"/>
        <v>3150</v>
      </c>
      <c r="N26" s="165">
        <v>69</v>
      </c>
      <c r="O26" s="165">
        <f t="shared" si="8"/>
        <v>217350</v>
      </c>
      <c r="P26" s="166">
        <f t="shared" si="9"/>
        <v>2608200</v>
      </c>
      <c r="Q26" s="105"/>
      <c r="R26" s="108">
        <v>6.84</v>
      </c>
      <c r="S26" s="166">
        <f t="shared" si="4"/>
        <v>3150</v>
      </c>
      <c r="T26" s="138">
        <f t="shared" si="10"/>
        <v>258552</v>
      </c>
      <c r="U26" s="165">
        <f t="shared" si="11"/>
        <v>-80892</v>
      </c>
    </row>
    <row r="27" spans="1:21">
      <c r="A27" s="136" t="s">
        <v>527</v>
      </c>
      <c r="B27" s="141">
        <f>+'2005 Stlgt Rates'!F24</f>
        <v>12.6</v>
      </c>
      <c r="C27" s="138">
        <f>+'Schedule 1'!C16</f>
        <v>1149</v>
      </c>
      <c r="D27" s="138">
        <f t="shared" si="0"/>
        <v>173729</v>
      </c>
      <c r="E27" s="141">
        <f>+'2005 Stlgt Rates'!G24</f>
        <v>1.07</v>
      </c>
      <c r="F27" s="138">
        <f t="shared" si="5"/>
        <v>1149</v>
      </c>
      <c r="G27" s="138">
        <f t="shared" si="1"/>
        <v>14753</v>
      </c>
      <c r="H27" s="141">
        <f>+'2005 Stlgt Rates'!H24</f>
        <v>3.38</v>
      </c>
      <c r="I27" s="138">
        <f t="shared" si="6"/>
        <v>1149</v>
      </c>
      <c r="J27" s="138">
        <f t="shared" si="2"/>
        <v>46603</v>
      </c>
      <c r="K27" s="138">
        <f t="shared" si="3"/>
        <v>235085</v>
      </c>
      <c r="M27" s="165">
        <f t="shared" si="7"/>
        <v>1149</v>
      </c>
      <c r="N27" s="165">
        <v>97</v>
      </c>
      <c r="O27" s="165">
        <f t="shared" si="8"/>
        <v>111453</v>
      </c>
      <c r="P27" s="166">
        <f t="shared" si="9"/>
        <v>1337436</v>
      </c>
      <c r="Q27" s="105"/>
      <c r="R27" s="108">
        <v>9.6199999999999992</v>
      </c>
      <c r="S27" s="166">
        <f t="shared" si="4"/>
        <v>1149</v>
      </c>
      <c r="T27" s="138">
        <f t="shared" si="10"/>
        <v>132640.56</v>
      </c>
      <c r="U27" s="165">
        <f t="shared" si="11"/>
        <v>-41088.44</v>
      </c>
    </row>
    <row r="28" spans="1:21">
      <c r="A28" s="136" t="s">
        <v>528</v>
      </c>
      <c r="B28" s="141">
        <f>+'2005 Stlgt Rates'!F27</f>
        <v>20</v>
      </c>
      <c r="C28" s="138">
        <f>+'Schedule 1'!C17</f>
        <v>1484</v>
      </c>
      <c r="D28" s="138">
        <f t="shared" si="0"/>
        <v>356160</v>
      </c>
      <c r="E28" s="141">
        <f>+'2005 Stlgt Rates'!G27</f>
        <v>1.07</v>
      </c>
      <c r="F28" s="138">
        <f t="shared" si="5"/>
        <v>1484</v>
      </c>
      <c r="G28" s="138">
        <f t="shared" si="1"/>
        <v>19055</v>
      </c>
      <c r="H28" s="141">
        <f>+'2005 Stlgt Rates'!H27</f>
        <v>3.8</v>
      </c>
      <c r="I28" s="138">
        <f t="shared" si="6"/>
        <v>1484</v>
      </c>
      <c r="J28" s="138">
        <f t="shared" si="2"/>
        <v>67670</v>
      </c>
      <c r="K28" s="138">
        <f t="shared" si="3"/>
        <v>442885</v>
      </c>
      <c r="M28" s="165">
        <f t="shared" si="7"/>
        <v>1484</v>
      </c>
      <c r="N28" s="165">
        <v>154</v>
      </c>
      <c r="O28" s="165">
        <f t="shared" si="8"/>
        <v>228536</v>
      </c>
      <c r="P28" s="166">
        <f t="shared" si="9"/>
        <v>2742432</v>
      </c>
      <c r="Q28" s="105"/>
      <c r="R28" s="108">
        <v>15.29</v>
      </c>
      <c r="S28" s="166">
        <f t="shared" si="4"/>
        <v>1484</v>
      </c>
      <c r="T28" s="138">
        <f t="shared" si="10"/>
        <v>272284.31999999995</v>
      </c>
      <c r="U28" s="165">
        <f t="shared" si="11"/>
        <v>-83875.680000000051</v>
      </c>
    </row>
    <row r="29" spans="1:21">
      <c r="A29" s="136" t="s">
        <v>529</v>
      </c>
      <c r="B29" s="141">
        <f>+'2005 Stlgt Rates'!F29</f>
        <v>33.78</v>
      </c>
      <c r="C29" s="138">
        <f>+'Schedule 1'!C18</f>
        <v>12</v>
      </c>
      <c r="D29" s="138">
        <f t="shared" si="0"/>
        <v>4864</v>
      </c>
      <c r="E29" s="141">
        <f>+'2005 Stlgt Rates'!G29</f>
        <v>1.07</v>
      </c>
      <c r="F29" s="138">
        <f t="shared" si="5"/>
        <v>12</v>
      </c>
      <c r="G29" s="138">
        <f t="shared" si="1"/>
        <v>154</v>
      </c>
      <c r="H29" s="141">
        <f>+'2005 Stlgt Rates'!H29</f>
        <v>11.75</v>
      </c>
      <c r="I29" s="138">
        <f t="shared" si="6"/>
        <v>12</v>
      </c>
      <c r="J29" s="138">
        <f t="shared" si="2"/>
        <v>1692</v>
      </c>
      <c r="K29" s="138">
        <f t="shared" si="3"/>
        <v>6710</v>
      </c>
      <c r="M29" s="165">
        <f t="shared" si="7"/>
        <v>12</v>
      </c>
      <c r="N29" s="165">
        <v>260</v>
      </c>
      <c r="O29" s="165">
        <f t="shared" si="8"/>
        <v>3120</v>
      </c>
      <c r="P29" s="166">
        <f t="shared" si="9"/>
        <v>37440</v>
      </c>
      <c r="Q29" s="105"/>
      <c r="R29" s="108">
        <v>25.82</v>
      </c>
      <c r="S29" s="166">
        <f t="shared" si="4"/>
        <v>12</v>
      </c>
      <c r="T29" s="138">
        <f t="shared" si="10"/>
        <v>3718.0800000000004</v>
      </c>
      <c r="U29" s="165">
        <f t="shared" si="11"/>
        <v>-1145.9199999999996</v>
      </c>
    </row>
    <row r="30" spans="1:21">
      <c r="A30" s="136" t="s">
        <v>530</v>
      </c>
      <c r="B30" s="141">
        <f>+'2005 Stlgt Rates'!F31</f>
        <v>47.15</v>
      </c>
      <c r="C30" s="138">
        <f>+'Schedule 1'!C19</f>
        <v>76</v>
      </c>
      <c r="D30" s="138">
        <f t="shared" si="0"/>
        <v>43001</v>
      </c>
      <c r="E30" s="141">
        <f>+'2005 Stlgt Rates'!G31</f>
        <v>1.07</v>
      </c>
      <c r="F30" s="138">
        <f t="shared" si="5"/>
        <v>76</v>
      </c>
      <c r="G30" s="138">
        <f t="shared" si="1"/>
        <v>976</v>
      </c>
      <c r="H30" s="141">
        <f>+'2005 Stlgt Rates'!H31</f>
        <v>11.91</v>
      </c>
      <c r="I30" s="138">
        <f t="shared" si="6"/>
        <v>76</v>
      </c>
      <c r="J30" s="138">
        <f t="shared" si="2"/>
        <v>10862</v>
      </c>
      <c r="K30" s="138">
        <f t="shared" si="3"/>
        <v>54839</v>
      </c>
      <c r="M30" s="165">
        <f t="shared" si="7"/>
        <v>76</v>
      </c>
      <c r="N30" s="165">
        <v>363</v>
      </c>
      <c r="O30" s="165">
        <f t="shared" si="8"/>
        <v>27588</v>
      </c>
      <c r="P30" s="166">
        <f t="shared" si="9"/>
        <v>331056</v>
      </c>
      <c r="Q30" s="105"/>
      <c r="R30" s="108">
        <v>36.049999999999997</v>
      </c>
      <c r="S30" s="166">
        <f t="shared" si="4"/>
        <v>76</v>
      </c>
      <c r="T30" s="138">
        <f t="shared" si="10"/>
        <v>32877.599999999999</v>
      </c>
      <c r="U30" s="165">
        <f t="shared" si="11"/>
        <v>-10123.400000000001</v>
      </c>
    </row>
    <row r="31" spans="1:21">
      <c r="A31" s="136" t="s">
        <v>531</v>
      </c>
      <c r="B31" s="141">
        <f>+'2005 Stlgt Rates'!F25</f>
        <v>20.54</v>
      </c>
      <c r="C31" s="138">
        <f>+'Schedule 1'!C20</f>
        <v>5</v>
      </c>
      <c r="D31" s="138">
        <f t="shared" si="0"/>
        <v>1232</v>
      </c>
      <c r="E31" s="141">
        <f>+'2005 Stlgt Rates'!G25</f>
        <v>2.15</v>
      </c>
      <c r="F31" s="138">
        <f t="shared" si="5"/>
        <v>5</v>
      </c>
      <c r="G31" s="138">
        <f t="shared" si="1"/>
        <v>129</v>
      </c>
      <c r="H31" s="141">
        <f>+'2005 Stlgt Rates'!H25</f>
        <v>3.36</v>
      </c>
      <c r="I31" s="138">
        <f t="shared" si="6"/>
        <v>5</v>
      </c>
      <c r="J31" s="138">
        <f t="shared" si="2"/>
        <v>202</v>
      </c>
      <c r="K31" s="138">
        <f t="shared" si="3"/>
        <v>1563</v>
      </c>
      <c r="M31" s="165">
        <f t="shared" si="7"/>
        <v>5</v>
      </c>
      <c r="N31" s="165">
        <v>212</v>
      </c>
      <c r="O31" s="165">
        <f t="shared" si="8"/>
        <v>1060</v>
      </c>
      <c r="P31" s="166">
        <f t="shared" si="9"/>
        <v>12720</v>
      </c>
      <c r="Q31" s="105"/>
      <c r="R31" s="108">
        <v>16.309999999999999</v>
      </c>
      <c r="S31" s="166">
        <f t="shared" si="4"/>
        <v>5</v>
      </c>
      <c r="T31" s="138">
        <f t="shared" si="10"/>
        <v>978.59999999999991</v>
      </c>
      <c r="U31" s="165">
        <f t="shared" si="11"/>
        <v>-253.40000000000009</v>
      </c>
    </row>
    <row r="32" spans="1:21">
      <c r="A32" s="126"/>
      <c r="B32" s="141"/>
      <c r="C32" s="138"/>
      <c r="D32" s="138"/>
      <c r="E32" s="141"/>
      <c r="F32" s="138"/>
      <c r="G32" s="138"/>
      <c r="H32" s="141"/>
      <c r="I32" s="138"/>
      <c r="J32" s="138"/>
      <c r="K32" s="138"/>
      <c r="M32" s="165"/>
      <c r="N32" s="165"/>
      <c r="O32" s="105"/>
      <c r="P32" s="105"/>
      <c r="Q32" s="105"/>
      <c r="R32" s="108"/>
      <c r="S32" s="105"/>
      <c r="T32" s="105"/>
      <c r="U32" s="165"/>
    </row>
    <row r="33" spans="1:21">
      <c r="A33" s="136" t="s">
        <v>532</v>
      </c>
      <c r="B33" s="141">
        <f>+'2005 Stlgt Rates'!F21</f>
        <v>6.76</v>
      </c>
      <c r="C33" s="138">
        <f>+'Schedule 1'!D14</f>
        <v>9</v>
      </c>
      <c r="D33" s="138">
        <f t="shared" ref="D33:D38" si="12">ROUND(B33*C33*12,0)</f>
        <v>730</v>
      </c>
      <c r="E33" s="141">
        <f>+'2005 Stlgt Rates'!G21</f>
        <v>1.42</v>
      </c>
      <c r="F33" s="138">
        <f t="shared" si="5"/>
        <v>9</v>
      </c>
      <c r="G33" s="138">
        <f t="shared" ref="G33:G38" si="13">ROUND(E33*F33*12,0)</f>
        <v>153</v>
      </c>
      <c r="H33" s="141">
        <f>+'2005 Stlgt Rates'!H21</f>
        <v>0</v>
      </c>
      <c r="I33" s="138">
        <f t="shared" si="6"/>
        <v>9</v>
      </c>
      <c r="J33" s="138">
        <f t="shared" ref="J33:J38" si="14">ROUND(H33*I33*12,0)</f>
        <v>0</v>
      </c>
      <c r="K33" s="138">
        <f t="shared" ref="K33:K38" si="15">+D33+G33+J33</f>
        <v>883</v>
      </c>
      <c r="M33" s="165">
        <f t="shared" si="7"/>
        <v>9</v>
      </c>
      <c r="N33" s="165">
        <v>52</v>
      </c>
      <c r="O33" s="165">
        <f t="shared" ref="O33:O38" si="16">M33*N33</f>
        <v>468</v>
      </c>
      <c r="P33" s="166">
        <f t="shared" si="9"/>
        <v>5616</v>
      </c>
      <c r="Q33" s="105"/>
      <c r="R33" s="108">
        <v>5.16</v>
      </c>
      <c r="S33" s="166">
        <f t="shared" ref="S33:S38" si="17">+M33</f>
        <v>9</v>
      </c>
      <c r="T33" s="138">
        <f t="shared" ref="T33:T38" si="18">R33*S33*12</f>
        <v>557.28</v>
      </c>
      <c r="U33" s="165">
        <f t="shared" ref="U33:U38" si="19">+T33-D33</f>
        <v>-172.72000000000003</v>
      </c>
    </row>
    <row r="34" spans="1:21">
      <c r="A34" s="136" t="s">
        <v>533</v>
      </c>
      <c r="B34" s="141">
        <f>+'2005 Stlgt Rates'!F23</f>
        <v>8.99</v>
      </c>
      <c r="C34" s="138">
        <f>+'Schedule 1'!D15</f>
        <v>24</v>
      </c>
      <c r="D34" s="138">
        <f t="shared" si="12"/>
        <v>2589</v>
      </c>
      <c r="E34" s="141">
        <f>+'2005 Stlgt Rates'!G23</f>
        <v>1.07</v>
      </c>
      <c r="F34" s="138">
        <f t="shared" si="5"/>
        <v>24</v>
      </c>
      <c r="G34" s="138">
        <f t="shared" si="13"/>
        <v>308</v>
      </c>
      <c r="H34" s="141">
        <f>+'2005 Stlgt Rates'!H23</f>
        <v>0</v>
      </c>
      <c r="I34" s="138">
        <f t="shared" si="6"/>
        <v>24</v>
      </c>
      <c r="J34" s="138">
        <f t="shared" si="14"/>
        <v>0</v>
      </c>
      <c r="K34" s="138">
        <f t="shared" si="15"/>
        <v>2897</v>
      </c>
      <c r="M34" s="165">
        <f t="shared" si="7"/>
        <v>24</v>
      </c>
      <c r="N34" s="165">
        <v>69</v>
      </c>
      <c r="O34" s="165">
        <f t="shared" si="16"/>
        <v>1656</v>
      </c>
      <c r="P34" s="166">
        <f t="shared" si="9"/>
        <v>19872</v>
      </c>
      <c r="Q34" s="105"/>
      <c r="R34" s="108">
        <v>6.84</v>
      </c>
      <c r="S34" s="166">
        <f t="shared" si="17"/>
        <v>24</v>
      </c>
      <c r="T34" s="138">
        <f t="shared" si="18"/>
        <v>1969.92</v>
      </c>
      <c r="U34" s="165">
        <f t="shared" si="19"/>
        <v>-619.07999999999993</v>
      </c>
    </row>
    <row r="35" spans="1:21">
      <c r="A35" s="136" t="s">
        <v>534</v>
      </c>
      <c r="B35" s="141">
        <f>+'2005 Stlgt Rates'!F26</f>
        <v>12.6</v>
      </c>
      <c r="C35" s="138">
        <f>+'Schedule 1'!D16</f>
        <v>34</v>
      </c>
      <c r="D35" s="138">
        <f t="shared" si="12"/>
        <v>5141</v>
      </c>
      <c r="E35" s="141">
        <f>+'2005 Stlgt Rates'!G26</f>
        <v>1.07</v>
      </c>
      <c r="F35" s="138">
        <f t="shared" si="5"/>
        <v>34</v>
      </c>
      <c r="G35" s="138">
        <f t="shared" si="13"/>
        <v>437</v>
      </c>
      <c r="H35" s="141">
        <f>+'2005 Stlgt Rates'!H26</f>
        <v>0</v>
      </c>
      <c r="I35" s="138">
        <f t="shared" si="6"/>
        <v>34</v>
      </c>
      <c r="J35" s="138">
        <f t="shared" si="14"/>
        <v>0</v>
      </c>
      <c r="K35" s="138">
        <f t="shared" si="15"/>
        <v>5578</v>
      </c>
      <c r="M35" s="165">
        <f t="shared" si="7"/>
        <v>34</v>
      </c>
      <c r="N35" s="165">
        <v>97</v>
      </c>
      <c r="O35" s="165">
        <f t="shared" si="16"/>
        <v>3298</v>
      </c>
      <c r="P35" s="166">
        <f t="shared" si="9"/>
        <v>39576</v>
      </c>
      <c r="Q35" s="105"/>
      <c r="R35" s="108">
        <v>9.6199999999999992</v>
      </c>
      <c r="S35" s="166">
        <f t="shared" si="17"/>
        <v>34</v>
      </c>
      <c r="T35" s="138">
        <f t="shared" si="18"/>
        <v>3924.96</v>
      </c>
      <c r="U35" s="165">
        <f t="shared" si="19"/>
        <v>-1216.04</v>
      </c>
    </row>
    <row r="36" spans="1:21">
      <c r="A36" s="136" t="s">
        <v>535</v>
      </c>
      <c r="B36" s="141">
        <f>+'2005 Stlgt Rates'!F28</f>
        <v>20</v>
      </c>
      <c r="C36" s="138">
        <f>+'Schedule 1'!D17</f>
        <v>10</v>
      </c>
      <c r="D36" s="138">
        <f t="shared" si="12"/>
        <v>2400</v>
      </c>
      <c r="E36" s="141">
        <f>+'2005 Stlgt Rates'!G28</f>
        <v>1.07</v>
      </c>
      <c r="F36" s="138">
        <f t="shared" si="5"/>
        <v>10</v>
      </c>
      <c r="G36" s="138">
        <f t="shared" si="13"/>
        <v>128</v>
      </c>
      <c r="H36" s="141">
        <f>+'2005 Stlgt Rates'!H28</f>
        <v>0.02</v>
      </c>
      <c r="I36" s="138">
        <f t="shared" si="6"/>
        <v>10</v>
      </c>
      <c r="J36" s="138">
        <f t="shared" si="14"/>
        <v>2</v>
      </c>
      <c r="K36" s="138">
        <f t="shared" si="15"/>
        <v>2530</v>
      </c>
      <c r="M36" s="165">
        <f t="shared" si="7"/>
        <v>10</v>
      </c>
      <c r="N36" s="165">
        <v>154</v>
      </c>
      <c r="O36" s="165">
        <f t="shared" si="16"/>
        <v>1540</v>
      </c>
      <c r="P36" s="166">
        <f t="shared" si="9"/>
        <v>18480</v>
      </c>
      <c r="Q36" s="105"/>
      <c r="R36" s="108">
        <v>15.29</v>
      </c>
      <c r="S36" s="166">
        <f t="shared" si="17"/>
        <v>10</v>
      </c>
      <c r="T36" s="138">
        <f t="shared" si="18"/>
        <v>1834.7999999999997</v>
      </c>
      <c r="U36" s="165">
        <f t="shared" si="19"/>
        <v>-565.20000000000027</v>
      </c>
    </row>
    <row r="37" spans="1:21">
      <c r="A37" s="136" t="s">
        <v>536</v>
      </c>
      <c r="B37" s="141">
        <f>+'2005 Stlgt Rates'!F29</f>
        <v>33.78</v>
      </c>
      <c r="C37" s="138">
        <f>+'Schedule 1'!D18</f>
        <v>0</v>
      </c>
      <c r="D37" s="138">
        <f t="shared" si="12"/>
        <v>0</v>
      </c>
      <c r="E37" s="141">
        <f>+'2005 Stlgt Rates'!G30</f>
        <v>1.07</v>
      </c>
      <c r="F37" s="138">
        <f t="shared" si="5"/>
        <v>0</v>
      </c>
      <c r="G37" s="138">
        <f t="shared" si="13"/>
        <v>0</v>
      </c>
      <c r="H37" s="141">
        <f>+'2005 Stlgt Rates'!H30</f>
        <v>0</v>
      </c>
      <c r="I37" s="138">
        <f t="shared" si="6"/>
        <v>0</v>
      </c>
      <c r="J37" s="138">
        <f t="shared" si="14"/>
        <v>0</v>
      </c>
      <c r="K37" s="138">
        <f t="shared" si="15"/>
        <v>0</v>
      </c>
      <c r="M37" s="165">
        <f t="shared" si="7"/>
        <v>0</v>
      </c>
      <c r="N37" s="165">
        <v>260</v>
      </c>
      <c r="O37" s="165">
        <f t="shared" si="16"/>
        <v>0</v>
      </c>
      <c r="P37" s="166">
        <f t="shared" si="9"/>
        <v>0</v>
      </c>
      <c r="Q37" s="105"/>
      <c r="R37" s="108">
        <v>25.82</v>
      </c>
      <c r="S37" s="166">
        <f t="shared" si="17"/>
        <v>0</v>
      </c>
      <c r="T37" s="138">
        <f t="shared" si="18"/>
        <v>0</v>
      </c>
      <c r="U37" s="165">
        <f t="shared" si="19"/>
        <v>0</v>
      </c>
    </row>
    <row r="38" spans="1:21">
      <c r="A38" s="136" t="s">
        <v>537</v>
      </c>
      <c r="B38" s="141">
        <f>+'2005 Stlgt Rates'!F32</f>
        <v>47.16</v>
      </c>
      <c r="C38" s="138">
        <f>+'Schedule 1'!D19</f>
        <v>17</v>
      </c>
      <c r="D38" s="138">
        <f t="shared" si="12"/>
        <v>9621</v>
      </c>
      <c r="E38" s="141">
        <f>+'2005 Stlgt Rates'!G32</f>
        <v>1.07</v>
      </c>
      <c r="F38" s="138">
        <f t="shared" si="5"/>
        <v>17</v>
      </c>
      <c r="G38" s="138">
        <f t="shared" si="13"/>
        <v>218</v>
      </c>
      <c r="H38" s="141">
        <f>+'2005 Stlgt Rates'!H32</f>
        <v>0</v>
      </c>
      <c r="I38" s="138">
        <f t="shared" si="6"/>
        <v>17</v>
      </c>
      <c r="J38" s="138">
        <f t="shared" si="14"/>
        <v>0</v>
      </c>
      <c r="K38" s="138">
        <f t="shared" si="15"/>
        <v>9839</v>
      </c>
      <c r="M38" s="165">
        <f t="shared" si="7"/>
        <v>17</v>
      </c>
      <c r="N38" s="165">
        <v>363</v>
      </c>
      <c r="O38" s="165">
        <f t="shared" si="16"/>
        <v>6171</v>
      </c>
      <c r="P38" s="166">
        <f t="shared" si="9"/>
        <v>74052</v>
      </c>
      <c r="Q38" s="105"/>
      <c r="R38" s="108">
        <v>36.049999999999997</v>
      </c>
      <c r="S38" s="166">
        <f t="shared" si="17"/>
        <v>17</v>
      </c>
      <c r="T38" s="138">
        <f t="shared" si="18"/>
        <v>7354.1999999999989</v>
      </c>
      <c r="U38" s="165">
        <f t="shared" si="19"/>
        <v>-2266.8000000000011</v>
      </c>
    </row>
    <row r="39" spans="1:21">
      <c r="A39" s="126"/>
      <c r="B39" s="141"/>
      <c r="C39" s="138"/>
      <c r="D39" s="138"/>
      <c r="E39" s="141"/>
      <c r="F39" s="138"/>
      <c r="G39" s="138"/>
      <c r="H39" s="141"/>
      <c r="I39" s="138"/>
      <c r="J39" s="138"/>
      <c r="K39" s="138"/>
      <c r="M39" s="165"/>
      <c r="N39" s="165"/>
      <c r="O39" s="105"/>
      <c r="P39" s="105"/>
      <c r="Q39" s="105"/>
      <c r="R39" s="108"/>
      <c r="S39" s="105"/>
      <c r="T39" s="105"/>
      <c r="U39" s="165"/>
    </row>
    <row r="40" spans="1:21">
      <c r="A40" s="142" t="s">
        <v>538</v>
      </c>
      <c r="B40" s="143">
        <f>+'2005 Stlgt Rates'!F123</f>
        <v>5.16</v>
      </c>
      <c r="C40" s="153">
        <f>+'Schedule 1'!E14</f>
        <v>11</v>
      </c>
      <c r="D40" s="153">
        <f t="shared" ref="D40:D45" si="20">ROUND(B40*C40*12,0)</f>
        <v>681</v>
      </c>
      <c r="E40" s="143">
        <v>0</v>
      </c>
      <c r="F40" s="153">
        <f t="shared" ref="F40:F45" si="21">+C40</f>
        <v>11</v>
      </c>
      <c r="G40" s="153">
        <f t="shared" ref="G40:G45" si="22">ROUND(E40*F40*12,0)</f>
        <v>0</v>
      </c>
      <c r="H40" s="143">
        <f>+'2005 Stlgt Rates'!H123</f>
        <v>0</v>
      </c>
      <c r="I40" s="153">
        <f t="shared" ref="I40:I45" si="23">+F40</f>
        <v>11</v>
      </c>
      <c r="J40" s="153">
        <f t="shared" ref="J40:J45" si="24">ROUND(H40*I40*12,0)</f>
        <v>0</v>
      </c>
      <c r="K40" s="153">
        <f t="shared" ref="K40:K45" si="25">+D40+G40+J40</f>
        <v>681</v>
      </c>
      <c r="M40" s="145">
        <f t="shared" ref="M40:M45" si="26">+I40</f>
        <v>11</v>
      </c>
      <c r="N40" s="145">
        <v>52</v>
      </c>
      <c r="O40" s="145">
        <f t="shared" ref="O40:O45" si="27">M40*N40</f>
        <v>572</v>
      </c>
      <c r="P40" s="146">
        <f t="shared" ref="P40:P45" si="28">O40*12</f>
        <v>6864</v>
      </c>
      <c r="Q40" s="105"/>
      <c r="R40" s="97">
        <v>5.16</v>
      </c>
      <c r="S40" s="146">
        <f t="shared" ref="S40:S45" si="29">+M40</f>
        <v>11</v>
      </c>
      <c r="T40" s="153">
        <f t="shared" ref="T40:T45" si="30">R40*S40*12</f>
        <v>681.12000000000012</v>
      </c>
      <c r="U40" s="145">
        <f t="shared" ref="U40:U45" si="31">+T40-D40</f>
        <v>0.12000000000011823</v>
      </c>
    </row>
    <row r="41" spans="1:21">
      <c r="A41" s="142" t="s">
        <v>539</v>
      </c>
      <c r="B41" s="143">
        <f>+'2005 Stlgt Rates'!F124</f>
        <v>6.84</v>
      </c>
      <c r="C41" s="153">
        <f>+'Schedule 1'!E15</f>
        <v>153</v>
      </c>
      <c r="D41" s="153">
        <f t="shared" si="20"/>
        <v>12558</v>
      </c>
      <c r="E41" s="143">
        <v>0</v>
      </c>
      <c r="F41" s="153">
        <f t="shared" si="21"/>
        <v>153</v>
      </c>
      <c r="G41" s="153">
        <f t="shared" si="22"/>
        <v>0</v>
      </c>
      <c r="H41" s="143">
        <f>+'2005 Stlgt Rates'!H124</f>
        <v>0</v>
      </c>
      <c r="I41" s="153">
        <f t="shared" si="23"/>
        <v>153</v>
      </c>
      <c r="J41" s="153">
        <f t="shared" si="24"/>
        <v>0</v>
      </c>
      <c r="K41" s="153">
        <f t="shared" si="25"/>
        <v>12558</v>
      </c>
      <c r="M41" s="145">
        <f t="shared" si="26"/>
        <v>153</v>
      </c>
      <c r="N41" s="145">
        <v>69</v>
      </c>
      <c r="O41" s="145">
        <f t="shared" si="27"/>
        <v>10557</v>
      </c>
      <c r="P41" s="146">
        <f t="shared" si="28"/>
        <v>126684</v>
      </c>
      <c r="Q41" s="105"/>
      <c r="R41" s="97">
        <v>6.84</v>
      </c>
      <c r="S41" s="146">
        <f t="shared" si="29"/>
        <v>153</v>
      </c>
      <c r="T41" s="153">
        <f t="shared" si="30"/>
        <v>12558.24</v>
      </c>
      <c r="U41" s="145">
        <f t="shared" si="31"/>
        <v>0.23999999999978172</v>
      </c>
    </row>
    <row r="42" spans="1:21">
      <c r="A42" s="142" t="s">
        <v>540</v>
      </c>
      <c r="B42" s="143">
        <f>+'2005 Stlgt Rates'!F125</f>
        <v>9.6300000000000008</v>
      </c>
      <c r="C42" s="153">
        <f>+'Schedule 1'!E16</f>
        <v>54</v>
      </c>
      <c r="D42" s="153">
        <f t="shared" si="20"/>
        <v>6240</v>
      </c>
      <c r="E42" s="143">
        <v>0</v>
      </c>
      <c r="F42" s="153">
        <f t="shared" si="21"/>
        <v>54</v>
      </c>
      <c r="G42" s="153">
        <f t="shared" si="22"/>
        <v>0</v>
      </c>
      <c r="H42" s="143">
        <f>+'2005 Stlgt Rates'!H125</f>
        <v>0</v>
      </c>
      <c r="I42" s="153">
        <f t="shared" si="23"/>
        <v>54</v>
      </c>
      <c r="J42" s="153">
        <f t="shared" si="24"/>
        <v>0</v>
      </c>
      <c r="K42" s="153">
        <f t="shared" si="25"/>
        <v>6240</v>
      </c>
      <c r="M42" s="145">
        <f t="shared" si="26"/>
        <v>54</v>
      </c>
      <c r="N42" s="145">
        <v>97</v>
      </c>
      <c r="O42" s="145">
        <f t="shared" si="27"/>
        <v>5238</v>
      </c>
      <c r="P42" s="146">
        <f t="shared" si="28"/>
        <v>62856</v>
      </c>
      <c r="Q42" s="105"/>
      <c r="R42" s="97">
        <v>9.6199999999999992</v>
      </c>
      <c r="S42" s="146">
        <f t="shared" si="29"/>
        <v>54</v>
      </c>
      <c r="T42" s="153">
        <f t="shared" si="30"/>
        <v>6233.7599999999984</v>
      </c>
      <c r="U42" s="145">
        <f t="shared" si="31"/>
        <v>-6.2400000000016007</v>
      </c>
    </row>
    <row r="43" spans="1:21">
      <c r="A43" s="142" t="s">
        <v>541</v>
      </c>
      <c r="B43" s="143">
        <f>+'2005 Stlgt Rates'!F126</f>
        <v>15.29</v>
      </c>
      <c r="C43" s="153">
        <f>+'Schedule 1'!E17</f>
        <v>16</v>
      </c>
      <c r="D43" s="153">
        <f t="shared" si="20"/>
        <v>2936</v>
      </c>
      <c r="E43" s="143">
        <v>0</v>
      </c>
      <c r="F43" s="153">
        <f t="shared" si="21"/>
        <v>16</v>
      </c>
      <c r="G43" s="153">
        <f t="shared" si="22"/>
        <v>0</v>
      </c>
      <c r="H43" s="143">
        <f>+'2005 Stlgt Rates'!H126</f>
        <v>0</v>
      </c>
      <c r="I43" s="153">
        <f t="shared" si="23"/>
        <v>16</v>
      </c>
      <c r="J43" s="153">
        <f t="shared" si="24"/>
        <v>0</v>
      </c>
      <c r="K43" s="153">
        <f t="shared" si="25"/>
        <v>2936</v>
      </c>
      <c r="M43" s="145">
        <f t="shared" si="26"/>
        <v>16</v>
      </c>
      <c r="N43" s="145">
        <v>154</v>
      </c>
      <c r="O43" s="145">
        <f t="shared" si="27"/>
        <v>2464</v>
      </c>
      <c r="P43" s="146">
        <f t="shared" si="28"/>
        <v>29568</v>
      </c>
      <c r="Q43" s="105"/>
      <c r="R43" s="97">
        <v>15.29</v>
      </c>
      <c r="S43" s="146">
        <f t="shared" si="29"/>
        <v>16</v>
      </c>
      <c r="T43" s="153">
        <f t="shared" si="30"/>
        <v>2935.68</v>
      </c>
      <c r="U43" s="145">
        <f t="shared" si="31"/>
        <v>-0.32000000000016371</v>
      </c>
    </row>
    <row r="44" spans="1:21">
      <c r="A44" s="142" t="s">
        <v>542</v>
      </c>
      <c r="B44" s="143">
        <f>+'2005 Stlgt Rates'!F127</f>
        <v>25.82</v>
      </c>
      <c r="C44" s="153">
        <f>+'Schedule 1'!E18</f>
        <v>1</v>
      </c>
      <c r="D44" s="153">
        <f t="shared" si="20"/>
        <v>310</v>
      </c>
      <c r="E44" s="143">
        <v>0</v>
      </c>
      <c r="F44" s="153">
        <f t="shared" si="21"/>
        <v>1</v>
      </c>
      <c r="G44" s="153">
        <f t="shared" si="22"/>
        <v>0</v>
      </c>
      <c r="H44" s="143">
        <f>+'2005 Stlgt Rates'!H127</f>
        <v>0</v>
      </c>
      <c r="I44" s="153">
        <f t="shared" si="23"/>
        <v>1</v>
      </c>
      <c r="J44" s="153">
        <f t="shared" si="24"/>
        <v>0</v>
      </c>
      <c r="K44" s="153">
        <f t="shared" si="25"/>
        <v>310</v>
      </c>
      <c r="M44" s="145">
        <f t="shared" si="26"/>
        <v>1</v>
      </c>
      <c r="N44" s="145">
        <v>260</v>
      </c>
      <c r="O44" s="145">
        <f t="shared" si="27"/>
        <v>260</v>
      </c>
      <c r="P44" s="146">
        <f t="shared" si="28"/>
        <v>3120</v>
      </c>
      <c r="Q44" s="105"/>
      <c r="R44" s="97">
        <v>25.82</v>
      </c>
      <c r="S44" s="146">
        <f t="shared" si="29"/>
        <v>1</v>
      </c>
      <c r="T44" s="153">
        <f t="shared" si="30"/>
        <v>309.84000000000003</v>
      </c>
      <c r="U44" s="145">
        <f t="shared" si="31"/>
        <v>-0.15999999999996817</v>
      </c>
    </row>
    <row r="45" spans="1:21">
      <c r="A45" s="142" t="s">
        <v>543</v>
      </c>
      <c r="B45" s="143">
        <f>+'2005 Stlgt Rates'!F128</f>
        <v>36.049999999999997</v>
      </c>
      <c r="C45" s="144">
        <f>+'Schedule 1'!E19</f>
        <v>7</v>
      </c>
      <c r="D45" s="144">
        <f t="shared" si="20"/>
        <v>3028</v>
      </c>
      <c r="E45" s="143">
        <v>0</v>
      </c>
      <c r="F45" s="144">
        <f t="shared" si="21"/>
        <v>7</v>
      </c>
      <c r="G45" s="144">
        <f t="shared" si="22"/>
        <v>0</v>
      </c>
      <c r="H45" s="143">
        <f>+'2005 Stlgt Rates'!H128</f>
        <v>0</v>
      </c>
      <c r="I45" s="144">
        <f t="shared" si="23"/>
        <v>7</v>
      </c>
      <c r="J45" s="144">
        <f t="shared" si="24"/>
        <v>0</v>
      </c>
      <c r="K45" s="144">
        <f t="shared" si="25"/>
        <v>3028</v>
      </c>
      <c r="M45" s="145">
        <f t="shared" si="26"/>
        <v>7</v>
      </c>
      <c r="N45" s="145">
        <v>363</v>
      </c>
      <c r="O45" s="145">
        <f t="shared" si="27"/>
        <v>2541</v>
      </c>
      <c r="P45" s="146">
        <f t="shared" si="28"/>
        <v>30492</v>
      </c>
      <c r="Q45" s="105"/>
      <c r="R45" s="97">
        <v>36.049999999999997</v>
      </c>
      <c r="S45" s="146">
        <f t="shared" si="29"/>
        <v>7</v>
      </c>
      <c r="T45" s="153">
        <f t="shared" si="30"/>
        <v>3028.2</v>
      </c>
      <c r="U45" s="145">
        <f t="shared" si="31"/>
        <v>0.1999999999998181</v>
      </c>
    </row>
    <row r="46" spans="1:21">
      <c r="A46" s="126"/>
      <c r="B46" s="141"/>
      <c r="C46" s="138"/>
      <c r="D46" s="138"/>
      <c r="E46" s="141"/>
      <c r="F46" s="138"/>
      <c r="G46" s="138"/>
      <c r="H46" s="141"/>
      <c r="I46" s="138"/>
      <c r="J46" s="138"/>
      <c r="K46" s="138"/>
      <c r="M46" s="165"/>
      <c r="N46" s="165"/>
      <c r="O46" s="105"/>
      <c r="P46" s="105"/>
      <c r="Q46" s="105"/>
      <c r="R46" s="108"/>
      <c r="S46" s="105"/>
      <c r="T46" s="105"/>
      <c r="U46" s="165"/>
    </row>
    <row r="47" spans="1:21">
      <c r="A47" s="154" t="s">
        <v>33</v>
      </c>
      <c r="B47" s="141"/>
      <c r="C47" s="151">
        <f>SUM(C24:C46)</f>
        <v>18443</v>
      </c>
      <c r="D47" s="151">
        <f>SUM(D24:D46)</f>
        <v>1951663</v>
      </c>
      <c r="E47" s="141"/>
      <c r="F47" s="151">
        <f>SUM(F24:F46)</f>
        <v>18443</v>
      </c>
      <c r="G47" s="151">
        <f>SUM(G24:G46)</f>
        <v>284043</v>
      </c>
      <c r="H47" s="141"/>
      <c r="I47" s="151">
        <f>SUM(I24:I46)</f>
        <v>18443</v>
      </c>
      <c r="J47" s="151">
        <f>SUM(J24:J46)</f>
        <v>715474</v>
      </c>
      <c r="K47" s="151">
        <f>SUM(K24:K46)</f>
        <v>2951180</v>
      </c>
      <c r="M47" s="165">
        <f>SUM(M24:M46)</f>
        <v>18443</v>
      </c>
      <c r="N47" s="165"/>
      <c r="O47" s="165">
        <f>SUM(O24:O46)</f>
        <v>1257463</v>
      </c>
      <c r="P47" s="165">
        <f>SUM(P24:P46)</f>
        <v>15089556</v>
      </c>
      <c r="Q47" s="105"/>
      <c r="R47" s="108"/>
      <c r="S47" s="151">
        <f>SUM(S24:S46)</f>
        <v>18443</v>
      </c>
      <c r="T47" s="151">
        <v>1460808</v>
      </c>
      <c r="U47" s="152">
        <v>-444592</v>
      </c>
    </row>
    <row r="48" spans="1:21">
      <c r="A48" s="154"/>
      <c r="B48" s="141"/>
      <c r="C48" s="151"/>
      <c r="D48" s="151"/>
      <c r="E48" s="141"/>
      <c r="F48" s="151"/>
      <c r="G48" s="151"/>
      <c r="H48" s="141"/>
      <c r="I48" s="151"/>
      <c r="J48" s="151"/>
      <c r="K48" s="151"/>
      <c r="M48" s="165"/>
      <c r="N48" s="165"/>
      <c r="O48" s="165"/>
      <c r="P48" s="165"/>
      <c r="Q48" s="105"/>
      <c r="R48" s="108"/>
      <c r="S48" s="105"/>
      <c r="T48" s="105"/>
      <c r="U48" s="165"/>
    </row>
    <row r="49" spans="1:21">
      <c r="A49" s="155" t="s">
        <v>544</v>
      </c>
      <c r="B49" s="141"/>
      <c r="C49" s="138"/>
      <c r="D49" s="138"/>
      <c r="E49" s="141"/>
      <c r="F49" s="138"/>
      <c r="G49" s="138"/>
      <c r="H49" s="141"/>
      <c r="I49" s="138"/>
      <c r="J49" s="138"/>
      <c r="K49" s="138"/>
      <c r="M49" s="165"/>
      <c r="N49" s="165"/>
      <c r="O49" s="105"/>
      <c r="P49" s="105"/>
      <c r="Q49" s="105"/>
      <c r="R49" s="108"/>
      <c r="S49" s="105"/>
      <c r="T49" s="105"/>
      <c r="U49" s="165"/>
    </row>
    <row r="50" spans="1:21">
      <c r="A50" s="126"/>
      <c r="B50" s="141"/>
      <c r="C50" s="138"/>
      <c r="D50" s="138"/>
      <c r="E50" s="141"/>
      <c r="F50" s="138"/>
      <c r="G50" s="138"/>
      <c r="H50" s="141"/>
      <c r="I50" s="138"/>
      <c r="J50" s="138"/>
      <c r="K50" s="138"/>
      <c r="M50" s="165"/>
      <c r="N50" s="165"/>
      <c r="O50" s="105"/>
      <c r="P50" s="105"/>
      <c r="Q50" s="105"/>
      <c r="R50" s="105"/>
      <c r="S50" s="105"/>
      <c r="T50" s="105"/>
      <c r="U50" s="105"/>
    </row>
    <row r="51" spans="1:21">
      <c r="A51" s="136" t="s">
        <v>545</v>
      </c>
      <c r="B51" s="141">
        <f>+'2005 Stlgt Rates'!F38</f>
        <v>3.91</v>
      </c>
      <c r="C51" s="138">
        <f>+'Schedule 1'!C23</f>
        <v>913</v>
      </c>
      <c r="D51" s="138">
        <f t="shared" ref="D51:D66" si="32">ROUND(B51*C51*12,0)</f>
        <v>42838</v>
      </c>
      <c r="E51" s="141">
        <f>+'2005 Stlgt Rates'!G38</f>
        <v>1.71</v>
      </c>
      <c r="F51" s="138">
        <f>+C51</f>
        <v>913</v>
      </c>
      <c r="G51" s="138">
        <f t="shared" ref="G51:G66" si="33">ROUND(E51*F51*12,0)</f>
        <v>18735</v>
      </c>
      <c r="H51" s="141">
        <f>+'2005 Stlgt Rates'!H38</f>
        <v>3.77</v>
      </c>
      <c r="I51" s="138">
        <f>+F51</f>
        <v>913</v>
      </c>
      <c r="J51" s="138">
        <f t="shared" ref="J51:J66" si="34">ROUND(H51*I51*12,0)</f>
        <v>41304</v>
      </c>
      <c r="K51" s="138">
        <f>+D51+G51+J51</f>
        <v>102877</v>
      </c>
      <c r="M51" s="165">
        <f>+I51</f>
        <v>913</v>
      </c>
      <c r="N51" s="165">
        <v>30</v>
      </c>
      <c r="O51" s="165">
        <f t="shared" ref="O51:O57" si="35">M51*N51</f>
        <v>27390</v>
      </c>
      <c r="P51" s="166">
        <f t="shared" ref="P51:P57" si="36">O51*12</f>
        <v>328680</v>
      </c>
      <c r="Q51" s="105"/>
      <c r="R51" s="108">
        <v>2.99</v>
      </c>
      <c r="S51" s="166">
        <f t="shared" ref="S51:S57" si="37">+M51</f>
        <v>913</v>
      </c>
      <c r="T51" s="138">
        <f t="shared" ref="T51:T57" si="38">R51*S51*12</f>
        <v>32758.440000000002</v>
      </c>
      <c r="U51" s="165">
        <f t="shared" ref="U51:U57" si="39">+T51-D51</f>
        <v>-10079.559999999998</v>
      </c>
    </row>
    <row r="52" spans="1:21">
      <c r="A52" s="136" t="s">
        <v>546</v>
      </c>
      <c r="B52" s="141">
        <f>+'2005 Stlgt Rates'!F40</f>
        <v>11.03</v>
      </c>
      <c r="C52" s="138">
        <f>+'Schedule 1'!C24</f>
        <v>153</v>
      </c>
      <c r="D52" s="138">
        <f t="shared" si="32"/>
        <v>20251</v>
      </c>
      <c r="E52" s="141">
        <f>+'2005 Stlgt Rates'!G40</f>
        <v>1.71</v>
      </c>
      <c r="F52" s="138">
        <f t="shared" ref="F52:F57" si="40">+C52</f>
        <v>153</v>
      </c>
      <c r="G52" s="138">
        <f t="shared" si="33"/>
        <v>3140</v>
      </c>
      <c r="H52" s="141">
        <f>+'2005 Stlgt Rates'!H40</f>
        <v>4.33</v>
      </c>
      <c r="I52" s="138">
        <f t="shared" ref="I52:I57" si="41">+F52</f>
        <v>153</v>
      </c>
      <c r="J52" s="138">
        <f t="shared" si="34"/>
        <v>7950</v>
      </c>
      <c r="K52" s="138">
        <f t="shared" ref="K52:K64" si="42">+D52+G52+J52</f>
        <v>31341</v>
      </c>
      <c r="M52" s="165">
        <f t="shared" ref="M52:M57" si="43">+I52</f>
        <v>153</v>
      </c>
      <c r="N52" s="165">
        <v>85</v>
      </c>
      <c r="O52" s="165">
        <f t="shared" si="35"/>
        <v>13005</v>
      </c>
      <c r="P52" s="166">
        <f t="shared" si="36"/>
        <v>156060</v>
      </c>
      <c r="Q52" s="105"/>
      <c r="R52" s="108">
        <v>8.44</v>
      </c>
      <c r="S52" s="166">
        <f t="shared" si="37"/>
        <v>153</v>
      </c>
      <c r="T52" s="138">
        <f t="shared" si="38"/>
        <v>15495.84</v>
      </c>
      <c r="U52" s="165">
        <f t="shared" si="39"/>
        <v>-4755.16</v>
      </c>
    </row>
    <row r="53" spans="1:21">
      <c r="A53" s="136" t="s">
        <v>547</v>
      </c>
      <c r="B53" s="141">
        <f>+'2005 Stlgt Rates'!F46</f>
        <v>15.08</v>
      </c>
      <c r="C53" s="138">
        <f>+'Schedule 1'!C25</f>
        <v>68</v>
      </c>
      <c r="D53" s="138">
        <f t="shared" si="32"/>
        <v>12305</v>
      </c>
      <c r="E53" s="141">
        <f>+'2005 Stlgt Rates'!G46</f>
        <v>1.71</v>
      </c>
      <c r="F53" s="138">
        <f t="shared" si="40"/>
        <v>68</v>
      </c>
      <c r="G53" s="138">
        <f t="shared" si="33"/>
        <v>1395</v>
      </c>
      <c r="H53" s="141">
        <f>+'2005 Stlgt Rates'!H46</f>
        <v>5.29</v>
      </c>
      <c r="I53" s="138">
        <f t="shared" si="41"/>
        <v>68</v>
      </c>
      <c r="J53" s="138">
        <f t="shared" si="34"/>
        <v>4317</v>
      </c>
      <c r="K53" s="138">
        <f t="shared" si="42"/>
        <v>18017</v>
      </c>
      <c r="M53" s="165">
        <f t="shared" si="43"/>
        <v>68</v>
      </c>
      <c r="N53" s="165">
        <v>116</v>
      </c>
      <c r="O53" s="165">
        <f t="shared" si="35"/>
        <v>7888</v>
      </c>
      <c r="P53" s="166">
        <f t="shared" si="36"/>
        <v>94656</v>
      </c>
      <c r="Q53" s="105"/>
      <c r="R53" s="108">
        <v>11.54</v>
      </c>
      <c r="S53" s="166">
        <f t="shared" si="37"/>
        <v>68</v>
      </c>
      <c r="T53" s="138">
        <f t="shared" si="38"/>
        <v>9416.64</v>
      </c>
      <c r="U53" s="165">
        <f t="shared" si="39"/>
        <v>-2888.3600000000006</v>
      </c>
    </row>
    <row r="54" spans="1:21">
      <c r="A54" s="136" t="s">
        <v>548</v>
      </c>
      <c r="B54" s="141">
        <f>+'2005 Stlgt Rates'!F47</f>
        <v>28.82</v>
      </c>
      <c r="C54" s="138">
        <f>+'Schedule 1'!C26</f>
        <v>15</v>
      </c>
      <c r="D54" s="138">
        <f t="shared" si="32"/>
        <v>5188</v>
      </c>
      <c r="E54" s="141">
        <f>+'2005 Stlgt Rates'!G47</f>
        <v>1.71</v>
      </c>
      <c r="F54" s="138">
        <f t="shared" si="40"/>
        <v>15</v>
      </c>
      <c r="G54" s="138">
        <f t="shared" si="33"/>
        <v>308</v>
      </c>
      <c r="H54" s="141">
        <f>+'2005 Stlgt Rates'!H47</f>
        <v>7.77</v>
      </c>
      <c r="I54" s="138">
        <f t="shared" si="41"/>
        <v>15</v>
      </c>
      <c r="J54" s="138">
        <f t="shared" si="34"/>
        <v>1399</v>
      </c>
      <c r="K54" s="138">
        <f t="shared" si="42"/>
        <v>6895</v>
      </c>
      <c r="M54" s="165">
        <f t="shared" si="43"/>
        <v>15</v>
      </c>
      <c r="N54" s="165">
        <v>222</v>
      </c>
      <c r="O54" s="165">
        <f t="shared" si="35"/>
        <v>3330</v>
      </c>
      <c r="P54" s="166">
        <f t="shared" si="36"/>
        <v>39960</v>
      </c>
      <c r="Q54" s="105"/>
      <c r="R54" s="108">
        <v>22.03</v>
      </c>
      <c r="S54" s="166">
        <f t="shared" si="37"/>
        <v>15</v>
      </c>
      <c r="T54" s="138">
        <f t="shared" si="38"/>
        <v>3965.4000000000005</v>
      </c>
      <c r="U54" s="165">
        <f t="shared" si="39"/>
        <v>-1222.5999999999995</v>
      </c>
    </row>
    <row r="55" spans="1:21">
      <c r="A55" s="136" t="s">
        <v>549</v>
      </c>
      <c r="B55" s="141">
        <f>+'2005 Stlgt Rates'!F49</f>
        <v>6.1</v>
      </c>
      <c r="C55" s="138">
        <f>+'Schedule 1'!C27</f>
        <v>5</v>
      </c>
      <c r="D55" s="138">
        <f t="shared" si="32"/>
        <v>366</v>
      </c>
      <c r="E55" s="141">
        <f>+'2005 Stlgt Rates'!G49</f>
        <v>1.71</v>
      </c>
      <c r="F55" s="138">
        <f t="shared" si="40"/>
        <v>5</v>
      </c>
      <c r="G55" s="138">
        <f t="shared" si="33"/>
        <v>103</v>
      </c>
      <c r="H55" s="141">
        <f>+'2005 Stlgt Rates'!H49</f>
        <v>4.92</v>
      </c>
      <c r="I55" s="138">
        <f t="shared" si="41"/>
        <v>5</v>
      </c>
      <c r="J55" s="138">
        <f t="shared" si="34"/>
        <v>295</v>
      </c>
      <c r="K55" s="138">
        <f t="shared" si="42"/>
        <v>764</v>
      </c>
      <c r="M55" s="165">
        <f t="shared" si="43"/>
        <v>5</v>
      </c>
      <c r="N55" s="165">
        <v>47</v>
      </c>
      <c r="O55" s="165">
        <f t="shared" si="35"/>
        <v>235</v>
      </c>
      <c r="P55" s="166">
        <f t="shared" si="36"/>
        <v>2820</v>
      </c>
      <c r="Q55" s="105"/>
      <c r="R55" s="108">
        <v>4.66</v>
      </c>
      <c r="S55" s="166">
        <f t="shared" si="37"/>
        <v>5</v>
      </c>
      <c r="T55" s="138">
        <f t="shared" si="38"/>
        <v>279.60000000000002</v>
      </c>
      <c r="U55" s="165">
        <f t="shared" si="39"/>
        <v>-86.399999999999977</v>
      </c>
    </row>
    <row r="56" spans="1:21">
      <c r="A56" s="136" t="s">
        <v>550</v>
      </c>
      <c r="B56" s="141">
        <f>+'2005 Stlgt Rates'!F44</f>
        <v>7.81</v>
      </c>
      <c r="C56" s="138">
        <f>+'Schedule 1'!C28</f>
        <v>2</v>
      </c>
      <c r="D56" s="138">
        <f t="shared" si="32"/>
        <v>187</v>
      </c>
      <c r="E56" s="141">
        <f>+'2005 Stlgt Rates'!G44</f>
        <v>1.71</v>
      </c>
      <c r="F56" s="138">
        <f t="shared" si="40"/>
        <v>2</v>
      </c>
      <c r="G56" s="138">
        <f t="shared" si="33"/>
        <v>41</v>
      </c>
      <c r="H56" s="141">
        <f>+'2005 Stlgt Rates'!H44</f>
        <v>4.05</v>
      </c>
      <c r="I56" s="138">
        <f t="shared" si="41"/>
        <v>2</v>
      </c>
      <c r="J56" s="138">
        <f t="shared" si="34"/>
        <v>97</v>
      </c>
      <c r="K56" s="138">
        <f t="shared" si="42"/>
        <v>325</v>
      </c>
      <c r="M56" s="165">
        <f t="shared" si="43"/>
        <v>2</v>
      </c>
      <c r="N56" s="165">
        <v>60</v>
      </c>
      <c r="O56" s="165">
        <f t="shared" si="35"/>
        <v>120</v>
      </c>
      <c r="P56" s="166">
        <f t="shared" si="36"/>
        <v>1440</v>
      </c>
      <c r="Q56" s="105"/>
      <c r="R56" s="108">
        <v>5.96</v>
      </c>
      <c r="S56" s="166">
        <f t="shared" si="37"/>
        <v>2</v>
      </c>
      <c r="T56" s="138">
        <f t="shared" si="38"/>
        <v>143.04</v>
      </c>
      <c r="U56" s="165">
        <f t="shared" si="39"/>
        <v>-43.960000000000008</v>
      </c>
    </row>
    <row r="57" spans="1:21">
      <c r="A57" s="136" t="s">
        <v>551</v>
      </c>
      <c r="B57" s="141">
        <f>+'2005 Stlgt Rates'!F42</f>
        <v>21.59</v>
      </c>
      <c r="C57" s="138">
        <f>+'Schedule 1'!C29</f>
        <v>2</v>
      </c>
      <c r="D57" s="138">
        <f t="shared" si="32"/>
        <v>518</v>
      </c>
      <c r="E57" s="141">
        <f>+'2005 Stlgt Rates'!G46</f>
        <v>1.71</v>
      </c>
      <c r="F57" s="138">
        <f t="shared" si="40"/>
        <v>2</v>
      </c>
      <c r="G57" s="138">
        <f t="shared" si="33"/>
        <v>41</v>
      </c>
      <c r="H57" s="141">
        <f>+'2005 Stlgt Rates'!H42</f>
        <v>5.49</v>
      </c>
      <c r="I57" s="138">
        <f t="shared" si="41"/>
        <v>2</v>
      </c>
      <c r="J57" s="138">
        <f t="shared" si="34"/>
        <v>132</v>
      </c>
      <c r="K57" s="138">
        <f t="shared" si="42"/>
        <v>691</v>
      </c>
      <c r="M57" s="165">
        <f t="shared" si="43"/>
        <v>2</v>
      </c>
      <c r="N57" s="165">
        <v>166</v>
      </c>
      <c r="O57" s="165">
        <f t="shared" si="35"/>
        <v>332</v>
      </c>
      <c r="P57" s="166">
        <f t="shared" si="36"/>
        <v>3984</v>
      </c>
      <c r="Q57" s="105"/>
      <c r="R57" s="108">
        <v>16.5</v>
      </c>
      <c r="S57" s="166">
        <f t="shared" si="37"/>
        <v>2</v>
      </c>
      <c r="T57" s="138">
        <f t="shared" si="38"/>
        <v>396</v>
      </c>
      <c r="U57" s="165">
        <f t="shared" si="39"/>
        <v>-122</v>
      </c>
    </row>
    <row r="58" spans="1:21">
      <c r="A58" s="126"/>
      <c r="B58" s="141"/>
      <c r="C58" s="138"/>
      <c r="D58" s="138"/>
      <c r="E58" s="141"/>
      <c r="F58" s="138"/>
      <c r="G58" s="138"/>
      <c r="H58" s="141"/>
      <c r="I58" s="138"/>
      <c r="J58" s="138"/>
      <c r="K58" s="138"/>
      <c r="M58" s="165"/>
      <c r="N58" s="165"/>
      <c r="O58" s="105"/>
      <c r="P58" s="105"/>
      <c r="Q58" s="105"/>
      <c r="R58" s="108"/>
      <c r="S58" s="105"/>
      <c r="T58" s="105"/>
      <c r="U58" s="165"/>
    </row>
    <row r="59" spans="1:21">
      <c r="A59" s="136" t="s">
        <v>552</v>
      </c>
      <c r="B59" s="141">
        <f>+'2005 Stlgt Rates'!F48</f>
        <v>28.82</v>
      </c>
      <c r="C59" s="138">
        <f>+'Schedule 1'!D26</f>
        <v>0</v>
      </c>
      <c r="D59" s="138">
        <f t="shared" si="32"/>
        <v>0</v>
      </c>
      <c r="E59" s="141">
        <f>+'2005 Stlgt Rates'!G48</f>
        <v>1.71</v>
      </c>
      <c r="F59" s="138">
        <f t="shared" ref="F59:F64" si="44">+C59</f>
        <v>0</v>
      </c>
      <c r="G59" s="138">
        <f t="shared" si="33"/>
        <v>0</v>
      </c>
      <c r="H59" s="141">
        <f>+'2005 Stlgt Rates'!H48</f>
        <v>0</v>
      </c>
      <c r="I59" s="138">
        <f t="shared" ref="I59:I64" si="45">+F59</f>
        <v>0</v>
      </c>
      <c r="J59" s="138">
        <f t="shared" si="34"/>
        <v>0</v>
      </c>
      <c r="K59" s="138">
        <f t="shared" si="42"/>
        <v>0</v>
      </c>
      <c r="M59" s="165">
        <f t="shared" ref="M59:M64" si="46">+I59</f>
        <v>0</v>
      </c>
      <c r="N59" s="165">
        <v>222</v>
      </c>
      <c r="O59" s="165">
        <f t="shared" ref="O59:O64" si="47">M59*N59</f>
        <v>0</v>
      </c>
      <c r="P59" s="166">
        <f t="shared" ref="P59:P64" si="48">O59*12</f>
        <v>0</v>
      </c>
      <c r="Q59" s="105"/>
      <c r="R59" s="108">
        <v>22.03</v>
      </c>
      <c r="S59" s="166">
        <f t="shared" ref="S59:S64" si="49">+M59</f>
        <v>0</v>
      </c>
      <c r="T59" s="138">
        <f t="shared" ref="T59:T64" si="50">R59*S59*12</f>
        <v>0</v>
      </c>
      <c r="U59" s="165">
        <f t="shared" ref="U59:U64" si="51">+T59-D59</f>
        <v>0</v>
      </c>
    </row>
    <row r="60" spans="1:21">
      <c r="A60" s="136" t="s">
        <v>553</v>
      </c>
      <c r="B60" s="141">
        <f>+'2005 Stlgt Rates'!F50</f>
        <v>6.1</v>
      </c>
      <c r="C60" s="138">
        <f>+'Schedule 1'!D27</f>
        <v>26</v>
      </c>
      <c r="D60" s="138">
        <f t="shared" si="32"/>
        <v>1903</v>
      </c>
      <c r="E60" s="141">
        <f>+'2005 Stlgt Rates'!G50</f>
        <v>1.71</v>
      </c>
      <c r="F60" s="138">
        <f t="shared" si="44"/>
        <v>26</v>
      </c>
      <c r="G60" s="138">
        <f t="shared" si="33"/>
        <v>534</v>
      </c>
      <c r="H60" s="141">
        <f>+'2005 Stlgt Rates'!H50</f>
        <v>0</v>
      </c>
      <c r="I60" s="138">
        <f t="shared" si="45"/>
        <v>26</v>
      </c>
      <c r="J60" s="138">
        <f t="shared" si="34"/>
        <v>0</v>
      </c>
      <c r="K60" s="138">
        <f t="shared" si="42"/>
        <v>2437</v>
      </c>
      <c r="M60" s="165">
        <f t="shared" si="46"/>
        <v>26</v>
      </c>
      <c r="N60" s="165">
        <v>47</v>
      </c>
      <c r="O60" s="165">
        <f t="shared" si="47"/>
        <v>1222</v>
      </c>
      <c r="P60" s="166">
        <f t="shared" si="48"/>
        <v>14664</v>
      </c>
      <c r="Q60" s="105"/>
      <c r="R60" s="108">
        <v>4.66</v>
      </c>
      <c r="S60" s="166">
        <f t="shared" si="49"/>
        <v>26</v>
      </c>
      <c r="T60" s="138">
        <f t="shared" si="50"/>
        <v>1453.92</v>
      </c>
      <c r="U60" s="165">
        <f t="shared" si="51"/>
        <v>-449.07999999999993</v>
      </c>
    </row>
    <row r="61" spans="1:21">
      <c r="A61" s="136" t="s">
        <v>554</v>
      </c>
      <c r="B61" s="141">
        <f>+'2005 Stlgt Rates'!F45</f>
        <v>7.82</v>
      </c>
      <c r="C61" s="138">
        <f>+'Schedule 1'!D28</f>
        <v>3</v>
      </c>
      <c r="D61" s="138">
        <f t="shared" si="32"/>
        <v>282</v>
      </c>
      <c r="E61" s="141">
        <f>+'2005 Stlgt Rates'!G45</f>
        <v>1.71</v>
      </c>
      <c r="F61" s="138">
        <f t="shared" si="44"/>
        <v>3</v>
      </c>
      <c r="G61" s="138">
        <f t="shared" si="33"/>
        <v>62</v>
      </c>
      <c r="H61" s="141">
        <f>+'2005 Stlgt Rates'!H45</f>
        <v>0</v>
      </c>
      <c r="I61" s="138">
        <f t="shared" si="45"/>
        <v>3</v>
      </c>
      <c r="J61" s="138">
        <f t="shared" si="34"/>
        <v>0</v>
      </c>
      <c r="K61" s="138">
        <f t="shared" si="42"/>
        <v>344</v>
      </c>
      <c r="M61" s="165">
        <f t="shared" si="46"/>
        <v>3</v>
      </c>
      <c r="N61" s="165">
        <v>60</v>
      </c>
      <c r="O61" s="165">
        <f t="shared" si="47"/>
        <v>180</v>
      </c>
      <c r="P61" s="166">
        <f t="shared" si="48"/>
        <v>2160</v>
      </c>
      <c r="Q61" s="105"/>
      <c r="R61" s="108">
        <v>5.96</v>
      </c>
      <c r="S61" s="166">
        <f t="shared" si="49"/>
        <v>3</v>
      </c>
      <c r="T61" s="138">
        <f t="shared" si="50"/>
        <v>214.56</v>
      </c>
      <c r="U61" s="165">
        <f t="shared" si="51"/>
        <v>-67.44</v>
      </c>
    </row>
    <row r="62" spans="1:21">
      <c r="A62" s="136" t="s">
        <v>602</v>
      </c>
      <c r="B62" s="141">
        <f>+'2005 Stlgt Rates'!F43</f>
        <v>21.59</v>
      </c>
      <c r="C62" s="138">
        <f>+'Schedule 1'!D29</f>
        <v>0</v>
      </c>
      <c r="D62" s="138">
        <f t="shared" si="32"/>
        <v>0</v>
      </c>
      <c r="E62" s="141">
        <f>+'2005 Stlgt Rates'!G43</f>
        <v>1.71</v>
      </c>
      <c r="F62" s="138">
        <f t="shared" si="44"/>
        <v>0</v>
      </c>
      <c r="G62" s="138">
        <f t="shared" si="33"/>
        <v>0</v>
      </c>
      <c r="H62" s="141">
        <f>+'2005 Stlgt Rates'!H43</f>
        <v>0</v>
      </c>
      <c r="I62" s="138">
        <f t="shared" si="45"/>
        <v>0</v>
      </c>
      <c r="J62" s="138">
        <f t="shared" si="34"/>
        <v>0</v>
      </c>
      <c r="K62" s="138">
        <f t="shared" si="42"/>
        <v>0</v>
      </c>
      <c r="M62" s="165">
        <f t="shared" si="46"/>
        <v>0</v>
      </c>
      <c r="N62" s="165">
        <v>60</v>
      </c>
      <c r="O62" s="165">
        <f t="shared" si="47"/>
        <v>0</v>
      </c>
      <c r="P62" s="166">
        <f t="shared" si="48"/>
        <v>0</v>
      </c>
      <c r="Q62" s="105"/>
      <c r="R62" s="108">
        <v>5.96</v>
      </c>
      <c r="S62" s="166">
        <f t="shared" si="49"/>
        <v>0</v>
      </c>
      <c r="T62" s="138">
        <f t="shared" si="50"/>
        <v>0</v>
      </c>
      <c r="U62" s="165">
        <f t="shared" si="51"/>
        <v>0</v>
      </c>
    </row>
    <row r="63" spans="1:21">
      <c r="A63" s="136" t="s">
        <v>555</v>
      </c>
      <c r="B63" s="141">
        <f>+'2005 Stlgt Rates'!F39</f>
        <v>6.37</v>
      </c>
      <c r="C63" s="138">
        <f>+'Schedule 1'!D30</f>
        <v>1</v>
      </c>
      <c r="D63" s="138">
        <f t="shared" si="32"/>
        <v>76</v>
      </c>
      <c r="E63" s="141">
        <f>+'2005 Stlgt Rates'!G39</f>
        <v>1.71</v>
      </c>
      <c r="F63" s="138">
        <f t="shared" si="44"/>
        <v>1</v>
      </c>
      <c r="G63" s="138">
        <f t="shared" si="33"/>
        <v>21</v>
      </c>
      <c r="H63" s="141">
        <f>+'2005 Stlgt Rates'!H39</f>
        <v>0</v>
      </c>
      <c r="I63" s="138">
        <f t="shared" si="45"/>
        <v>1</v>
      </c>
      <c r="J63" s="138">
        <f t="shared" si="34"/>
        <v>0</v>
      </c>
      <c r="K63" s="138">
        <f t="shared" si="42"/>
        <v>97</v>
      </c>
      <c r="M63" s="165">
        <f t="shared" si="46"/>
        <v>1</v>
      </c>
      <c r="N63" s="165">
        <v>49</v>
      </c>
      <c r="O63" s="165">
        <f t="shared" si="47"/>
        <v>49</v>
      </c>
      <c r="P63" s="166">
        <f t="shared" si="48"/>
        <v>588</v>
      </c>
      <c r="Q63" s="105"/>
      <c r="R63" s="108">
        <v>4.84</v>
      </c>
      <c r="S63" s="166">
        <f t="shared" si="49"/>
        <v>1</v>
      </c>
      <c r="T63" s="138">
        <f t="shared" si="50"/>
        <v>58.08</v>
      </c>
      <c r="U63" s="165">
        <f t="shared" si="51"/>
        <v>-17.920000000000002</v>
      </c>
    </row>
    <row r="64" spans="1:21">
      <c r="A64" s="156" t="s">
        <v>556</v>
      </c>
      <c r="B64" s="157">
        <f>+'2005 Stlgt Rates'!F41</f>
        <v>11.04</v>
      </c>
      <c r="C64" s="138">
        <f>+'Schedule 1'!D32</f>
        <v>0</v>
      </c>
      <c r="D64" s="138">
        <f t="shared" si="32"/>
        <v>0</v>
      </c>
      <c r="E64" s="157">
        <f>+'2005 Stlgt Rates'!G41</f>
        <v>1.71</v>
      </c>
      <c r="F64" s="138">
        <f t="shared" si="44"/>
        <v>0</v>
      </c>
      <c r="G64" s="138">
        <f t="shared" si="33"/>
        <v>0</v>
      </c>
      <c r="H64" s="157">
        <f>+'2005 Stlgt Rates'!H41</f>
        <v>0</v>
      </c>
      <c r="I64" s="138">
        <f t="shared" si="45"/>
        <v>0</v>
      </c>
      <c r="J64" s="138">
        <f t="shared" si="34"/>
        <v>0</v>
      </c>
      <c r="K64" s="138">
        <f t="shared" si="42"/>
        <v>0</v>
      </c>
      <c r="L64" s="79"/>
      <c r="M64" s="165">
        <f t="shared" si="46"/>
        <v>0</v>
      </c>
      <c r="N64" s="159">
        <v>85</v>
      </c>
      <c r="O64" s="165">
        <f t="shared" si="47"/>
        <v>0</v>
      </c>
      <c r="P64" s="166">
        <f t="shared" si="48"/>
        <v>0</v>
      </c>
      <c r="Q64" s="79"/>
      <c r="R64" s="82">
        <v>8.44</v>
      </c>
      <c r="S64" s="166">
        <f t="shared" si="49"/>
        <v>0</v>
      </c>
      <c r="T64" s="138">
        <f t="shared" si="50"/>
        <v>0</v>
      </c>
      <c r="U64" s="165">
        <f t="shared" si="51"/>
        <v>0</v>
      </c>
    </row>
    <row r="65" spans="1:21">
      <c r="A65" s="156"/>
      <c r="B65" s="157"/>
      <c r="C65" s="138"/>
      <c r="D65" s="158"/>
      <c r="E65" s="157"/>
      <c r="F65" s="158"/>
      <c r="G65" s="158"/>
      <c r="H65" s="157"/>
      <c r="I65" s="158"/>
      <c r="J65" s="158"/>
      <c r="K65" s="158"/>
      <c r="L65" s="79"/>
      <c r="M65" s="159"/>
      <c r="N65" s="159"/>
      <c r="O65" s="159"/>
      <c r="P65" s="160"/>
      <c r="Q65" s="79"/>
      <c r="R65" s="82"/>
      <c r="S65" s="160"/>
      <c r="T65" s="158"/>
      <c r="U65" s="159"/>
    </row>
    <row r="66" spans="1:21">
      <c r="A66" s="142" t="s">
        <v>557</v>
      </c>
      <c r="B66" s="143">
        <f>+'2005 Stlgt Rates'!F134</f>
        <v>4.6500000000000004</v>
      </c>
      <c r="C66" s="144">
        <f>+'Schedule 1'!E32</f>
        <v>2</v>
      </c>
      <c r="D66" s="144">
        <f t="shared" si="32"/>
        <v>112</v>
      </c>
      <c r="E66" s="143">
        <f>+'2005 Stlgt Rates'!G134</f>
        <v>0</v>
      </c>
      <c r="F66" s="144">
        <f>+C66</f>
        <v>2</v>
      </c>
      <c r="G66" s="144">
        <f t="shared" si="33"/>
        <v>0</v>
      </c>
      <c r="H66" s="143">
        <f>+'2005 Stlgt Rates'!H134</f>
        <v>0</v>
      </c>
      <c r="I66" s="144">
        <f>+F66</f>
        <v>2</v>
      </c>
      <c r="J66" s="144">
        <f t="shared" si="34"/>
        <v>0</v>
      </c>
      <c r="K66" s="144">
        <f>+D66+G66+J66</f>
        <v>112</v>
      </c>
      <c r="M66" s="145">
        <f>+I66</f>
        <v>2</v>
      </c>
      <c r="N66" s="145">
        <v>47</v>
      </c>
      <c r="O66" s="145">
        <f>M66*N66</f>
        <v>94</v>
      </c>
      <c r="P66" s="146">
        <f>O66*12</f>
        <v>1128</v>
      </c>
      <c r="Q66" s="105"/>
      <c r="R66" s="97">
        <v>4.6500000000000004</v>
      </c>
      <c r="S66" s="146">
        <f>+M66</f>
        <v>2</v>
      </c>
      <c r="T66" s="153">
        <f>R66*S66*12</f>
        <v>111.60000000000001</v>
      </c>
      <c r="U66" s="145">
        <f>+T66-D66</f>
        <v>-0.39999999999999147</v>
      </c>
    </row>
    <row r="67" spans="1:21">
      <c r="A67" s="142"/>
      <c r="B67" s="143"/>
      <c r="C67" s="144"/>
      <c r="D67" s="144"/>
      <c r="E67" s="143"/>
      <c r="F67" s="144"/>
      <c r="G67" s="144"/>
      <c r="H67" s="143"/>
      <c r="I67" s="144"/>
      <c r="J67" s="144"/>
      <c r="K67" s="144"/>
      <c r="M67" s="145"/>
      <c r="N67" s="145"/>
      <c r="O67" s="145"/>
      <c r="P67" s="146"/>
      <c r="Q67" s="105"/>
      <c r="R67" s="97"/>
      <c r="S67" s="146"/>
      <c r="T67" s="153"/>
      <c r="U67" s="145"/>
    </row>
    <row r="68" spans="1:21">
      <c r="A68" s="154" t="s">
        <v>33</v>
      </c>
      <c r="B68" s="141"/>
      <c r="C68" s="161">
        <f>SUM(C51:C67)</f>
        <v>1190</v>
      </c>
      <c r="D68" s="161">
        <f>SUM(D51:D67)</f>
        <v>84026</v>
      </c>
      <c r="E68" s="141"/>
      <c r="F68" s="161">
        <f>SUM(F51:F67)</f>
        <v>1190</v>
      </c>
      <c r="G68" s="161">
        <f>SUM(G51:G67)</f>
        <v>24380</v>
      </c>
      <c r="H68" s="141"/>
      <c r="I68" s="161">
        <f>SUM(I51:I67)</f>
        <v>1190</v>
      </c>
      <c r="J68" s="161">
        <f>SUM(J51:J67)</f>
        <v>55494</v>
      </c>
      <c r="K68" s="161">
        <f>SUM(K51:K67)</f>
        <v>163900</v>
      </c>
      <c r="M68" s="138">
        <f>SUM(M51:M67)</f>
        <v>1190</v>
      </c>
      <c r="N68" s="165"/>
      <c r="O68" s="138">
        <f>SUM(O51:O67)</f>
        <v>53845</v>
      </c>
      <c r="P68" s="138">
        <f>SUM(P51:P67)</f>
        <v>646140</v>
      </c>
      <c r="Q68" s="105"/>
      <c r="R68" s="108"/>
      <c r="S68" s="162">
        <f>SUM(S51:S67)</f>
        <v>1190</v>
      </c>
      <c r="T68" s="162">
        <f>SUM(T51:T67)</f>
        <v>64293.119999999995</v>
      </c>
      <c r="U68" s="152">
        <f>SUM(U51:U67)</f>
        <v>-19732.879999999994</v>
      </c>
    </row>
    <row r="69" spans="1:21">
      <c r="A69" s="126"/>
      <c r="B69" s="141"/>
      <c r="C69" s="138"/>
      <c r="D69" s="138"/>
      <c r="E69" s="141"/>
      <c r="F69" s="138"/>
      <c r="G69" s="138"/>
      <c r="H69" s="141"/>
      <c r="I69" s="138"/>
      <c r="J69" s="138"/>
      <c r="K69" s="138"/>
      <c r="M69" s="165"/>
      <c r="N69" s="165"/>
      <c r="O69" s="105"/>
      <c r="P69" s="105"/>
      <c r="Q69" s="105"/>
      <c r="R69" s="108"/>
      <c r="S69" s="105"/>
      <c r="T69" s="105"/>
      <c r="U69" s="165"/>
    </row>
    <row r="70" spans="1:21">
      <c r="A70" s="154" t="s">
        <v>558</v>
      </c>
      <c r="B70" s="141"/>
      <c r="C70" s="138"/>
      <c r="D70" s="138"/>
      <c r="E70" s="141"/>
      <c r="F70" s="138"/>
      <c r="G70" s="138"/>
      <c r="H70" s="141"/>
      <c r="I70" s="138"/>
      <c r="J70" s="138"/>
      <c r="K70" s="138"/>
      <c r="M70" s="165"/>
      <c r="N70" s="165"/>
      <c r="O70" s="105"/>
      <c r="P70" s="105"/>
      <c r="Q70" s="105"/>
      <c r="R70" s="108"/>
      <c r="S70" s="105"/>
      <c r="T70" s="105"/>
      <c r="U70" s="165"/>
    </row>
    <row r="71" spans="1:21">
      <c r="A71" s="126"/>
      <c r="B71" s="141"/>
      <c r="C71" s="138"/>
      <c r="D71" s="138"/>
      <c r="E71" s="141"/>
      <c r="F71" s="138"/>
      <c r="G71" s="138"/>
      <c r="H71" s="141"/>
      <c r="I71" s="138"/>
      <c r="J71" s="138"/>
      <c r="K71" s="138"/>
      <c r="M71" s="165"/>
      <c r="N71" s="165"/>
      <c r="O71" s="105"/>
      <c r="P71" s="105"/>
      <c r="Q71" s="105"/>
      <c r="R71" s="108"/>
      <c r="S71" s="105"/>
      <c r="T71" s="105"/>
      <c r="U71" s="165"/>
    </row>
    <row r="72" spans="1:21">
      <c r="A72" s="136" t="s">
        <v>559</v>
      </c>
      <c r="B72" s="141">
        <f>+'2005 Stlgt Rates'!F60</f>
        <v>47.08</v>
      </c>
      <c r="C72" s="138">
        <f>+'Schedule 1'!E36</f>
        <v>2</v>
      </c>
      <c r="D72" s="138">
        <f>ROUND(B72*C72*12,0)</f>
        <v>1130</v>
      </c>
      <c r="E72" s="141">
        <v>0</v>
      </c>
      <c r="F72" s="138">
        <f>+C72</f>
        <v>2</v>
      </c>
      <c r="G72" s="138">
        <f>ROUND(E72*F72*12,0)</f>
        <v>0</v>
      </c>
      <c r="H72" s="141">
        <v>0</v>
      </c>
      <c r="I72" s="138">
        <f>+F72</f>
        <v>2</v>
      </c>
      <c r="J72" s="138">
        <f>ROUND(H72*I72*12,0)</f>
        <v>0</v>
      </c>
      <c r="K72" s="138">
        <f>+D72+G72+J72</f>
        <v>1130</v>
      </c>
      <c r="M72" s="165">
        <f>+I72</f>
        <v>2</v>
      </c>
      <c r="N72" s="165">
        <v>486</v>
      </c>
      <c r="O72" s="165">
        <f>M72*N72</f>
        <v>972</v>
      </c>
      <c r="P72" s="166">
        <f>O72*12</f>
        <v>11664</v>
      </c>
      <c r="Q72" s="105"/>
      <c r="R72" s="108">
        <v>47.08</v>
      </c>
      <c r="S72" s="166">
        <f>+M72</f>
        <v>2</v>
      </c>
      <c r="T72" s="138">
        <f>R72*S72*12</f>
        <v>1129.92</v>
      </c>
      <c r="U72" s="165">
        <f>+T72-D72</f>
        <v>-7.999999999992724E-2</v>
      </c>
    </row>
    <row r="73" spans="1:21">
      <c r="A73" s="136" t="s">
        <v>560</v>
      </c>
      <c r="B73" s="141">
        <f>+'2005 Stlgt Rates'!F58</f>
        <v>6.41</v>
      </c>
      <c r="C73" s="138">
        <f>+'Schedule 1'!E37</f>
        <v>17</v>
      </c>
      <c r="D73" s="138">
        <f>ROUND(B73*C73*12,0)</f>
        <v>1308</v>
      </c>
      <c r="E73" s="141">
        <v>0</v>
      </c>
      <c r="F73" s="138">
        <f>+C73</f>
        <v>17</v>
      </c>
      <c r="G73" s="138">
        <f>ROUND(E73*F73*12,0)</f>
        <v>0</v>
      </c>
      <c r="H73" s="141">
        <v>0</v>
      </c>
      <c r="I73" s="138">
        <f>+F73</f>
        <v>17</v>
      </c>
      <c r="J73" s="138">
        <f>ROUND(H73*I73*12,0)</f>
        <v>0</v>
      </c>
      <c r="K73" s="138">
        <f>+D73+G73+J73</f>
        <v>1308</v>
      </c>
      <c r="M73" s="165">
        <f t="shared" ref="M73:M83" si="52">+I73</f>
        <v>17</v>
      </c>
      <c r="N73" s="165">
        <v>66</v>
      </c>
      <c r="O73" s="165">
        <f>M73*N73</f>
        <v>1122</v>
      </c>
      <c r="P73" s="166">
        <f>O73*12</f>
        <v>13464</v>
      </c>
      <c r="Q73" s="105"/>
      <c r="R73" s="108">
        <v>6.41</v>
      </c>
      <c r="S73" s="166">
        <f>+M73</f>
        <v>17</v>
      </c>
      <c r="T73" s="138">
        <f>R73*S73*12</f>
        <v>1307.6399999999999</v>
      </c>
      <c r="U73" s="165">
        <f>+T73-D73</f>
        <v>-0.36000000000012733</v>
      </c>
    </row>
    <row r="74" spans="1:21">
      <c r="A74" s="136" t="s">
        <v>561</v>
      </c>
      <c r="B74" s="141">
        <f>+'2005 Stlgt Rates'!F59</f>
        <v>35.26</v>
      </c>
      <c r="C74" s="138">
        <f>+'Schedule 1'!E38</f>
        <v>21</v>
      </c>
      <c r="D74" s="138">
        <f>ROUND(B74*C74*12,0)</f>
        <v>8886</v>
      </c>
      <c r="E74" s="141">
        <v>0</v>
      </c>
      <c r="F74" s="138">
        <f>+C74</f>
        <v>21</v>
      </c>
      <c r="G74" s="138">
        <f>ROUND(E74*F74*12,0)</f>
        <v>0</v>
      </c>
      <c r="H74" s="141">
        <v>0</v>
      </c>
      <c r="I74" s="138">
        <f>+F74</f>
        <v>21</v>
      </c>
      <c r="J74" s="138">
        <f>ROUND(H74*I74*12,0)</f>
        <v>0</v>
      </c>
      <c r="K74" s="138">
        <f>+D74+G74+J74</f>
        <v>8886</v>
      </c>
      <c r="M74" s="165">
        <f t="shared" si="52"/>
        <v>21</v>
      </c>
      <c r="N74" s="165">
        <v>364</v>
      </c>
      <c r="O74" s="165">
        <f>M74*N74</f>
        <v>7644</v>
      </c>
      <c r="P74" s="166">
        <f>O74*12</f>
        <v>91728</v>
      </c>
      <c r="Q74" s="105"/>
      <c r="R74" s="108">
        <v>35.26</v>
      </c>
      <c r="S74" s="166">
        <f>+M74</f>
        <v>21</v>
      </c>
      <c r="T74" s="138">
        <f>R74*S74*12</f>
        <v>8885.5199999999986</v>
      </c>
      <c r="U74" s="165">
        <f>+T74-D74</f>
        <v>-0.48000000000138243</v>
      </c>
    </row>
    <row r="75" spans="1:21">
      <c r="A75" s="136" t="s">
        <v>562</v>
      </c>
      <c r="B75" s="141">
        <f>+'2005 Stlgt Rates'!F61</f>
        <v>24.61</v>
      </c>
      <c r="C75" s="138">
        <f>+'Schedule 1'!E39</f>
        <v>29</v>
      </c>
      <c r="D75" s="138">
        <f>ROUND(B75*C75*12,0)</f>
        <v>8564</v>
      </c>
      <c r="E75" s="141">
        <v>0</v>
      </c>
      <c r="F75" s="138">
        <f>+C75</f>
        <v>29</v>
      </c>
      <c r="G75" s="138">
        <f>ROUND(E75*F75*12,0)</f>
        <v>0</v>
      </c>
      <c r="H75" s="141">
        <v>0</v>
      </c>
      <c r="I75" s="138">
        <f>+F75</f>
        <v>29</v>
      </c>
      <c r="J75" s="138">
        <f>ROUND(H75*I75*12,0)</f>
        <v>0</v>
      </c>
      <c r="K75" s="138">
        <f>+D75+G75+J75</f>
        <v>8564</v>
      </c>
      <c r="M75" s="165">
        <f t="shared" si="52"/>
        <v>29</v>
      </c>
      <c r="N75" s="165">
        <v>254</v>
      </c>
      <c r="O75" s="165">
        <f>M75*N75</f>
        <v>7366</v>
      </c>
      <c r="P75" s="166">
        <f>O75*12</f>
        <v>88392</v>
      </c>
      <c r="Q75" s="105"/>
      <c r="R75" s="108">
        <v>24.61</v>
      </c>
      <c r="S75" s="166">
        <f>+M75</f>
        <v>29</v>
      </c>
      <c r="T75" s="138">
        <f>R75*S75*12</f>
        <v>8564.2799999999988</v>
      </c>
      <c r="U75" s="165">
        <f>+T75-D75</f>
        <v>0.27999999999883585</v>
      </c>
    </row>
    <row r="76" spans="1:21">
      <c r="A76" s="136" t="s">
        <v>563</v>
      </c>
      <c r="B76" s="141">
        <f>+'2005 Stlgt Rates'!F62</f>
        <v>59.39</v>
      </c>
      <c r="C76" s="138">
        <f>+'Schedule 1'!E40</f>
        <v>23</v>
      </c>
      <c r="D76" s="138">
        <f>ROUND(B76*C76*12,0)</f>
        <v>16392</v>
      </c>
      <c r="E76" s="141">
        <v>0</v>
      </c>
      <c r="F76" s="138">
        <f>+C76</f>
        <v>23</v>
      </c>
      <c r="G76" s="138">
        <f>ROUND(E76*F76*12,0)</f>
        <v>0</v>
      </c>
      <c r="H76" s="141">
        <v>0</v>
      </c>
      <c r="I76" s="138">
        <f>+F76</f>
        <v>23</v>
      </c>
      <c r="J76" s="138">
        <f>ROUND(H76*I76*12,0)</f>
        <v>0</v>
      </c>
      <c r="K76" s="138">
        <f>+D76+G76+J76</f>
        <v>16392</v>
      </c>
      <c r="M76" s="165">
        <f t="shared" si="52"/>
        <v>23</v>
      </c>
      <c r="N76" s="165">
        <v>613</v>
      </c>
      <c r="O76" s="165">
        <f>M76*N76</f>
        <v>14099</v>
      </c>
      <c r="P76" s="166">
        <f>O76*12</f>
        <v>169188</v>
      </c>
      <c r="Q76" s="105"/>
      <c r="R76" s="108">
        <v>59.39</v>
      </c>
      <c r="S76" s="166">
        <f>+M76</f>
        <v>23</v>
      </c>
      <c r="T76" s="138">
        <f>R76*S76*12</f>
        <v>16391.64</v>
      </c>
      <c r="U76" s="165">
        <f>+T76-D76</f>
        <v>-0.36000000000058208</v>
      </c>
    </row>
    <row r="77" spans="1:21">
      <c r="A77" s="126"/>
      <c r="B77" s="141"/>
      <c r="C77" s="138"/>
      <c r="D77" s="138"/>
      <c r="E77" s="141"/>
      <c r="F77" s="138"/>
      <c r="G77" s="138"/>
      <c r="H77" s="141"/>
      <c r="I77" s="138"/>
      <c r="J77" s="138"/>
      <c r="K77" s="138"/>
      <c r="M77" s="165"/>
      <c r="N77" s="165"/>
      <c r="O77" s="105"/>
      <c r="P77" s="105"/>
      <c r="Q77" s="105"/>
      <c r="R77" s="108"/>
      <c r="S77" s="105"/>
      <c r="T77" s="105"/>
      <c r="U77" s="165"/>
    </row>
    <row r="78" spans="1:21">
      <c r="A78" s="136" t="s">
        <v>564</v>
      </c>
      <c r="B78" s="141">
        <f>+'2005 Stlgt Rates'!F68</f>
        <v>3.91</v>
      </c>
      <c r="C78" s="138">
        <f>+'Schedule 1'!E43</f>
        <v>1</v>
      </c>
      <c r="D78" s="138">
        <f t="shared" ref="D78:D84" si="53">ROUND(B78*C78*12,0)</f>
        <v>47</v>
      </c>
      <c r="E78" s="141">
        <v>0</v>
      </c>
      <c r="F78" s="138">
        <f t="shared" ref="F78:F84" si="54">+C78</f>
        <v>1</v>
      </c>
      <c r="G78" s="138">
        <f t="shared" ref="G78:G84" si="55">ROUND(E78*F78*12,0)</f>
        <v>0</v>
      </c>
      <c r="H78" s="141">
        <v>0</v>
      </c>
      <c r="I78" s="138">
        <f t="shared" ref="I78:I84" si="56">+F78</f>
        <v>1</v>
      </c>
      <c r="J78" s="138">
        <f t="shared" ref="J78:J84" si="57">ROUND(H78*I78*12,0)</f>
        <v>0</v>
      </c>
      <c r="K78" s="138">
        <f t="shared" ref="K78:K84" si="58">+D78+G78+J78</f>
        <v>47</v>
      </c>
      <c r="M78" s="165">
        <f t="shared" si="52"/>
        <v>1</v>
      </c>
      <c r="N78" s="165">
        <v>30</v>
      </c>
      <c r="O78" s="165">
        <f t="shared" ref="O78:O83" si="59">M78*N78</f>
        <v>30</v>
      </c>
      <c r="P78" s="166">
        <f t="shared" ref="P78:P83" si="60">O78*12</f>
        <v>360</v>
      </c>
      <c r="Q78" s="105"/>
      <c r="R78" s="108">
        <v>2.99</v>
      </c>
      <c r="S78" s="166">
        <f t="shared" ref="S78:S83" si="61">+M78</f>
        <v>1</v>
      </c>
      <c r="T78" s="138">
        <f t="shared" ref="T78:T83" si="62">R78*S78*12</f>
        <v>35.880000000000003</v>
      </c>
      <c r="U78" s="165">
        <f t="shared" ref="U78:U83" si="63">+T78-D78</f>
        <v>-11.119999999999997</v>
      </c>
    </row>
    <row r="79" spans="1:21">
      <c r="A79" s="136" t="s">
        <v>565</v>
      </c>
      <c r="B79" s="141">
        <f>+'2005 Stlgt Rates'!F69</f>
        <v>21.59</v>
      </c>
      <c r="C79" s="138">
        <v>5</v>
      </c>
      <c r="D79" s="138">
        <f t="shared" si="53"/>
        <v>1295</v>
      </c>
      <c r="E79" s="141">
        <v>0</v>
      </c>
      <c r="F79" s="138">
        <f t="shared" si="54"/>
        <v>5</v>
      </c>
      <c r="G79" s="138">
        <f t="shared" si="55"/>
        <v>0</v>
      </c>
      <c r="H79" s="141">
        <v>0</v>
      </c>
      <c r="I79" s="138">
        <f t="shared" si="56"/>
        <v>5</v>
      </c>
      <c r="J79" s="138">
        <f t="shared" si="57"/>
        <v>0</v>
      </c>
      <c r="K79" s="138">
        <f t="shared" si="58"/>
        <v>1295</v>
      </c>
      <c r="M79" s="165">
        <f t="shared" si="52"/>
        <v>5</v>
      </c>
      <c r="N79" s="165">
        <v>166</v>
      </c>
      <c r="O79" s="165">
        <f t="shared" si="59"/>
        <v>830</v>
      </c>
      <c r="P79" s="166">
        <f t="shared" si="60"/>
        <v>9960</v>
      </c>
      <c r="Q79" s="105"/>
      <c r="R79" s="108">
        <v>16.5</v>
      </c>
      <c r="S79" s="166">
        <f t="shared" si="61"/>
        <v>5</v>
      </c>
      <c r="T79" s="138">
        <f t="shared" si="62"/>
        <v>990</v>
      </c>
      <c r="U79" s="165">
        <f t="shared" si="63"/>
        <v>-305</v>
      </c>
    </row>
    <row r="80" spans="1:21">
      <c r="A80" s="136" t="s">
        <v>566</v>
      </c>
      <c r="B80" s="141">
        <f>+'2005 Stlgt Rates'!F71</f>
        <v>15.08</v>
      </c>
      <c r="C80" s="138">
        <f>+'Schedule 1'!E45</f>
        <v>2</v>
      </c>
      <c r="D80" s="138">
        <f t="shared" si="53"/>
        <v>362</v>
      </c>
      <c r="E80" s="141">
        <v>0</v>
      </c>
      <c r="F80" s="138">
        <f t="shared" si="54"/>
        <v>2</v>
      </c>
      <c r="G80" s="138">
        <f t="shared" si="55"/>
        <v>0</v>
      </c>
      <c r="H80" s="141">
        <v>0</v>
      </c>
      <c r="I80" s="138">
        <f t="shared" si="56"/>
        <v>2</v>
      </c>
      <c r="J80" s="138">
        <f t="shared" si="57"/>
        <v>0</v>
      </c>
      <c r="K80" s="138">
        <f t="shared" si="58"/>
        <v>362</v>
      </c>
      <c r="M80" s="165">
        <f t="shared" si="52"/>
        <v>2</v>
      </c>
      <c r="N80" s="165">
        <v>116</v>
      </c>
      <c r="O80" s="165">
        <f t="shared" si="59"/>
        <v>232</v>
      </c>
      <c r="P80" s="166">
        <f t="shared" si="60"/>
        <v>2784</v>
      </c>
      <c r="Q80" s="105"/>
      <c r="R80" s="108">
        <v>11.54</v>
      </c>
      <c r="S80" s="166">
        <f t="shared" si="61"/>
        <v>2</v>
      </c>
      <c r="T80" s="138">
        <f t="shared" si="62"/>
        <v>276.95999999999998</v>
      </c>
      <c r="U80" s="165">
        <f t="shared" si="63"/>
        <v>-85.04000000000002</v>
      </c>
    </row>
    <row r="81" spans="1:21">
      <c r="A81" s="136" t="s">
        <v>567</v>
      </c>
      <c r="B81" s="141">
        <f>+'2005 Stlgt Rates'!F70</f>
        <v>28.84</v>
      </c>
      <c r="C81" s="138">
        <f>+'Schedule 1'!E46</f>
        <v>0</v>
      </c>
      <c r="D81" s="138">
        <f t="shared" si="53"/>
        <v>0</v>
      </c>
      <c r="E81" s="141">
        <v>0</v>
      </c>
      <c r="F81" s="138">
        <f t="shared" si="54"/>
        <v>0</v>
      </c>
      <c r="G81" s="138">
        <f t="shared" si="55"/>
        <v>0</v>
      </c>
      <c r="H81" s="141">
        <v>0</v>
      </c>
      <c r="I81" s="138">
        <f t="shared" si="56"/>
        <v>0</v>
      </c>
      <c r="J81" s="138">
        <f t="shared" si="57"/>
        <v>0</v>
      </c>
      <c r="K81" s="138">
        <f t="shared" si="58"/>
        <v>0</v>
      </c>
      <c r="M81" s="165">
        <f t="shared" si="52"/>
        <v>0</v>
      </c>
      <c r="N81" s="165">
        <v>222</v>
      </c>
      <c r="O81" s="165">
        <f t="shared" si="59"/>
        <v>0</v>
      </c>
      <c r="P81" s="166">
        <f t="shared" si="60"/>
        <v>0</v>
      </c>
      <c r="Q81" s="105"/>
      <c r="R81" s="108">
        <v>22.03</v>
      </c>
      <c r="S81" s="166">
        <f t="shared" si="61"/>
        <v>0</v>
      </c>
      <c r="T81" s="138">
        <f t="shared" si="62"/>
        <v>0</v>
      </c>
      <c r="U81" s="165">
        <f t="shared" si="63"/>
        <v>0</v>
      </c>
    </row>
    <row r="82" spans="1:21">
      <c r="A82" s="142" t="s">
        <v>568</v>
      </c>
      <c r="B82" s="143">
        <f>+'2005 Stlgt Rates'!F140</f>
        <v>4.67</v>
      </c>
      <c r="C82" s="153">
        <f>+'Schedule 1'!E47</f>
        <v>25</v>
      </c>
      <c r="D82" s="153">
        <f t="shared" si="53"/>
        <v>1401</v>
      </c>
      <c r="E82" s="143">
        <v>0</v>
      </c>
      <c r="F82" s="153">
        <f t="shared" si="54"/>
        <v>25</v>
      </c>
      <c r="G82" s="153">
        <f t="shared" si="55"/>
        <v>0</v>
      </c>
      <c r="H82" s="143">
        <v>0</v>
      </c>
      <c r="I82" s="153">
        <f t="shared" si="56"/>
        <v>25</v>
      </c>
      <c r="J82" s="153">
        <f t="shared" si="57"/>
        <v>0</v>
      </c>
      <c r="K82" s="153">
        <f t="shared" si="58"/>
        <v>1401</v>
      </c>
      <c r="M82" s="145">
        <f t="shared" si="52"/>
        <v>25</v>
      </c>
      <c r="N82" s="145">
        <v>47</v>
      </c>
      <c r="O82" s="145">
        <f t="shared" si="59"/>
        <v>1175</v>
      </c>
      <c r="P82" s="146">
        <f t="shared" si="60"/>
        <v>14100</v>
      </c>
      <c r="Q82" s="105"/>
      <c r="R82" s="97">
        <v>4.67</v>
      </c>
      <c r="S82" s="146">
        <f t="shared" si="61"/>
        <v>25</v>
      </c>
      <c r="T82" s="153">
        <f t="shared" si="62"/>
        <v>1401</v>
      </c>
      <c r="U82" s="145">
        <f t="shared" si="63"/>
        <v>0</v>
      </c>
    </row>
    <row r="83" spans="1:21">
      <c r="A83" s="142" t="s">
        <v>569</v>
      </c>
      <c r="B83" s="143">
        <f>+'2005 Stlgt Rates'!F141</f>
        <v>5.96</v>
      </c>
      <c r="C83" s="153">
        <f>+'Schedule 1'!E48</f>
        <v>0</v>
      </c>
      <c r="D83" s="153">
        <f t="shared" si="53"/>
        <v>0</v>
      </c>
      <c r="E83" s="143">
        <v>0</v>
      </c>
      <c r="F83" s="153">
        <f t="shared" si="54"/>
        <v>0</v>
      </c>
      <c r="G83" s="153">
        <f t="shared" si="55"/>
        <v>0</v>
      </c>
      <c r="H83" s="143">
        <v>0</v>
      </c>
      <c r="I83" s="153">
        <f t="shared" si="56"/>
        <v>0</v>
      </c>
      <c r="J83" s="153">
        <f t="shared" si="57"/>
        <v>0</v>
      </c>
      <c r="K83" s="153">
        <f>+D83+G83+J83</f>
        <v>0</v>
      </c>
      <c r="M83" s="145">
        <f t="shared" si="52"/>
        <v>0</v>
      </c>
      <c r="N83" s="145">
        <v>60</v>
      </c>
      <c r="O83" s="145">
        <f t="shared" si="59"/>
        <v>0</v>
      </c>
      <c r="P83" s="146">
        <f t="shared" si="60"/>
        <v>0</v>
      </c>
      <c r="Q83" s="105"/>
      <c r="R83" s="97">
        <v>5.96</v>
      </c>
      <c r="S83" s="146">
        <f t="shared" si="61"/>
        <v>0</v>
      </c>
      <c r="T83" s="153">
        <f t="shared" si="62"/>
        <v>0</v>
      </c>
      <c r="U83" s="145">
        <f t="shared" si="63"/>
        <v>0</v>
      </c>
    </row>
    <row r="84" spans="1:21">
      <c r="A84" s="136" t="s">
        <v>570</v>
      </c>
      <c r="B84" s="141">
        <f>+'2005 Stlgt Rates'!F72</f>
        <v>36.369999999999997</v>
      </c>
      <c r="C84" s="163">
        <f>+'Schedule 1'!E33</f>
        <v>78</v>
      </c>
      <c r="D84" s="163">
        <f t="shared" si="53"/>
        <v>34042</v>
      </c>
      <c r="E84" s="141">
        <v>0</v>
      </c>
      <c r="F84" s="163">
        <f t="shared" si="54"/>
        <v>78</v>
      </c>
      <c r="G84" s="163">
        <f t="shared" si="55"/>
        <v>0</v>
      </c>
      <c r="H84" s="141">
        <v>0</v>
      </c>
      <c r="I84" s="163">
        <f t="shared" si="56"/>
        <v>78</v>
      </c>
      <c r="J84" s="163">
        <f t="shared" si="57"/>
        <v>0</v>
      </c>
      <c r="K84" s="163">
        <f t="shared" si="58"/>
        <v>34042</v>
      </c>
      <c r="M84" s="165">
        <f>+I84</f>
        <v>78</v>
      </c>
      <c r="N84" s="165">
        <v>280</v>
      </c>
      <c r="O84" s="165">
        <f>M84*N84</f>
        <v>21840</v>
      </c>
      <c r="P84" s="166">
        <f>O84*12</f>
        <v>262080</v>
      </c>
      <c r="Q84" s="105"/>
      <c r="R84" s="108">
        <v>27.81</v>
      </c>
      <c r="S84" s="166">
        <f>+M84</f>
        <v>78</v>
      </c>
      <c r="T84" s="138">
        <f>R84*S84*12</f>
        <v>26030.159999999996</v>
      </c>
      <c r="U84" s="165">
        <f>+T84-D84</f>
        <v>-8011.8400000000038</v>
      </c>
    </row>
    <row r="85" spans="1:21">
      <c r="A85" s="126"/>
      <c r="B85" s="141"/>
      <c r="C85" s="138"/>
      <c r="D85" s="138"/>
      <c r="E85" s="141"/>
      <c r="F85" s="138"/>
      <c r="G85" s="138"/>
      <c r="H85" s="141"/>
      <c r="I85" s="138"/>
      <c r="J85" s="138"/>
      <c r="K85" s="138"/>
      <c r="M85" s="165"/>
      <c r="N85" s="165"/>
      <c r="O85" s="105"/>
      <c r="P85" s="105"/>
      <c r="Q85" s="105"/>
      <c r="R85" s="108"/>
      <c r="S85" s="105"/>
      <c r="T85" s="105"/>
      <c r="U85" s="165"/>
    </row>
    <row r="86" spans="1:21">
      <c r="A86" s="154" t="s">
        <v>33</v>
      </c>
      <c r="B86" s="141"/>
      <c r="C86" s="161">
        <f>SUM(C72:C85)</f>
        <v>203</v>
      </c>
      <c r="D86" s="161">
        <f>SUM(D72:D85)</f>
        <v>73427</v>
      </c>
      <c r="E86" s="141"/>
      <c r="F86" s="161">
        <f>SUM(F72:F85)</f>
        <v>203</v>
      </c>
      <c r="G86" s="161">
        <f>SUM(G72:G85)</f>
        <v>0</v>
      </c>
      <c r="H86" s="141"/>
      <c r="I86" s="161">
        <f>SUM(I72:I85)</f>
        <v>203</v>
      </c>
      <c r="J86" s="161">
        <f>SUM(J72:J85)</f>
        <v>0</v>
      </c>
      <c r="K86" s="161">
        <f>SUM(K72:K84)</f>
        <v>73427</v>
      </c>
      <c r="M86" s="165">
        <f>SUM(M72:M85)</f>
        <v>203</v>
      </c>
      <c r="N86" s="165"/>
      <c r="O86" s="165">
        <f>SUM(O72:O85)</f>
        <v>55310</v>
      </c>
      <c r="P86" s="165">
        <f>SUM(P72:P85)</f>
        <v>663720</v>
      </c>
      <c r="Q86" s="105"/>
      <c r="R86" s="108"/>
      <c r="S86" s="162">
        <f>SUM(S72:S85)</f>
        <v>203</v>
      </c>
      <c r="T86" s="162">
        <f>SUM(T72:T85)</f>
        <v>65012.999999999993</v>
      </c>
      <c r="U86" s="152">
        <f>SUM(U72:U85)</f>
        <v>-8414.0000000000073</v>
      </c>
    </row>
    <row r="87" spans="1:21">
      <c r="A87" s="154"/>
      <c r="B87" s="141"/>
      <c r="C87" s="161"/>
      <c r="D87" s="161"/>
      <c r="E87" s="141"/>
      <c r="F87" s="161"/>
      <c r="G87" s="161"/>
      <c r="H87" s="141"/>
      <c r="I87" s="161"/>
      <c r="J87" s="161"/>
      <c r="K87" s="161"/>
      <c r="M87" s="165"/>
      <c r="N87" s="165"/>
      <c r="O87" s="165"/>
      <c r="P87" s="165"/>
      <c r="Q87" s="105"/>
      <c r="R87" s="108"/>
      <c r="S87" s="105"/>
      <c r="T87" s="105"/>
      <c r="U87" s="165"/>
    </row>
    <row r="88" spans="1:21">
      <c r="A88" s="154" t="s">
        <v>571</v>
      </c>
      <c r="B88" s="141"/>
      <c r="C88" s="138"/>
      <c r="D88" s="138"/>
      <c r="E88" s="141"/>
      <c r="F88" s="138"/>
      <c r="G88" s="138"/>
      <c r="H88" s="141"/>
      <c r="I88" s="138"/>
      <c r="J88" s="138"/>
      <c r="K88" s="138"/>
      <c r="M88" s="165"/>
      <c r="N88" s="165"/>
      <c r="O88" s="105"/>
      <c r="P88" s="105"/>
      <c r="Q88" s="105"/>
      <c r="R88" s="108"/>
      <c r="S88" s="105"/>
      <c r="T88" s="105"/>
      <c r="U88" s="165"/>
    </row>
    <row r="89" spans="1:21">
      <c r="A89" s="126"/>
      <c r="B89" s="141"/>
      <c r="C89" s="138"/>
      <c r="D89" s="138"/>
      <c r="E89" s="141"/>
      <c r="F89" s="138"/>
      <c r="G89" s="138"/>
      <c r="H89" s="141"/>
      <c r="I89" s="138"/>
      <c r="J89" s="138"/>
      <c r="K89" s="138"/>
      <c r="M89" s="165"/>
      <c r="N89" s="165"/>
      <c r="O89" s="105"/>
      <c r="P89" s="105"/>
      <c r="Q89" s="105"/>
      <c r="R89" s="105"/>
      <c r="S89" s="105"/>
      <c r="T89" s="105"/>
      <c r="U89" s="105"/>
    </row>
    <row r="90" spans="1:21">
      <c r="A90" s="136" t="s">
        <v>572</v>
      </c>
      <c r="B90" s="141">
        <f>+'2005 Stlgt Rates'!F78</f>
        <v>5.83</v>
      </c>
      <c r="C90" s="138">
        <f>+'Schedule 1'!C62</f>
        <v>2</v>
      </c>
      <c r="D90" s="138">
        <f>ROUND(B90*C90*12,0)</f>
        <v>140</v>
      </c>
      <c r="E90" s="141">
        <f>+'2005 Stlgt Rates'!G78</f>
        <v>2.16</v>
      </c>
      <c r="F90" s="138">
        <f>+C90</f>
        <v>2</v>
      </c>
      <c r="G90" s="138">
        <f>ROUND(E90*F90*12,0)</f>
        <v>52</v>
      </c>
      <c r="H90" s="141">
        <f>+'2005 Stlgt Rates'!H78</f>
        <v>5.09</v>
      </c>
      <c r="I90" s="138">
        <f>+F90</f>
        <v>2</v>
      </c>
      <c r="J90" s="138">
        <f>ROUND(H90*I90*12,0)</f>
        <v>122</v>
      </c>
      <c r="K90" s="138">
        <f>+D90+G90+J90</f>
        <v>314</v>
      </c>
      <c r="M90" s="165">
        <f>+I90</f>
        <v>2</v>
      </c>
      <c r="N90" s="165">
        <v>45</v>
      </c>
      <c r="O90" s="165">
        <f>M90*N90</f>
        <v>90</v>
      </c>
      <c r="P90" s="166">
        <f>O90*12</f>
        <v>1080</v>
      </c>
      <c r="Q90" s="105"/>
      <c r="R90" s="108">
        <v>4.47</v>
      </c>
      <c r="S90" s="166">
        <f>+M90</f>
        <v>2</v>
      </c>
      <c r="T90" s="138">
        <f>R90*S90*12</f>
        <v>107.28</v>
      </c>
      <c r="U90" s="165">
        <f>+T90-D90</f>
        <v>-32.72</v>
      </c>
    </row>
    <row r="91" spans="1:21">
      <c r="A91" s="136" t="s">
        <v>573</v>
      </c>
      <c r="B91" s="141">
        <f>+'2005 Stlgt Rates'!F79</f>
        <v>7.8</v>
      </c>
      <c r="C91" s="138">
        <f>+'Schedule 1'!C60</f>
        <v>61</v>
      </c>
      <c r="D91" s="138">
        <f>ROUND(B91*C91*12,0)</f>
        <v>5710</v>
      </c>
      <c r="E91" s="141">
        <f>+'2005 Stlgt Rates'!G79</f>
        <v>2.16</v>
      </c>
      <c r="F91" s="138">
        <f>+C91</f>
        <v>61</v>
      </c>
      <c r="G91" s="138">
        <f>ROUND(E91*F91*12,0)</f>
        <v>1581</v>
      </c>
      <c r="H91" s="141">
        <f>+'2005 Stlgt Rates'!H79</f>
        <v>5.09</v>
      </c>
      <c r="I91" s="138">
        <f>+F91</f>
        <v>61</v>
      </c>
      <c r="J91" s="138">
        <f>ROUND(H91*I91*12,0)</f>
        <v>3726</v>
      </c>
      <c r="K91" s="138">
        <f>+D91+G91+J91</f>
        <v>11017</v>
      </c>
      <c r="M91" s="165">
        <f>+I91</f>
        <v>61</v>
      </c>
      <c r="N91" s="165">
        <v>60</v>
      </c>
      <c r="O91" s="165">
        <f>M91*N91</f>
        <v>3660</v>
      </c>
      <c r="P91" s="166">
        <f>O91*12</f>
        <v>43920</v>
      </c>
      <c r="Q91" s="105"/>
      <c r="R91" s="108">
        <v>5.96</v>
      </c>
      <c r="S91" s="166">
        <f>+M91</f>
        <v>61</v>
      </c>
      <c r="T91" s="138">
        <f>R91*S91*12</f>
        <v>4362.72</v>
      </c>
      <c r="U91" s="165">
        <f>+T91-D91</f>
        <v>-1347.2799999999997</v>
      </c>
    </row>
    <row r="92" spans="1:21">
      <c r="A92" s="136" t="s">
        <v>574</v>
      </c>
      <c r="B92" s="141">
        <f>+'2005 Stlgt Rates'!F80</f>
        <v>10.4</v>
      </c>
      <c r="C92" s="138">
        <f>+'Schedule 1'!C61</f>
        <v>870</v>
      </c>
      <c r="D92" s="138">
        <f>ROUND(B92*C92*12,0)</f>
        <v>108576</v>
      </c>
      <c r="E92" s="141">
        <f>+'2005 Stlgt Rates'!G80</f>
        <v>2.16</v>
      </c>
      <c r="F92" s="138">
        <f>+C92</f>
        <v>870</v>
      </c>
      <c r="G92" s="138">
        <f>ROUND(E92*F92*12,0)</f>
        <v>22550</v>
      </c>
      <c r="H92" s="141">
        <f>+'2005 Stlgt Rates'!H80</f>
        <v>5.09</v>
      </c>
      <c r="I92" s="138">
        <f>+F92</f>
        <v>870</v>
      </c>
      <c r="J92" s="138">
        <f>ROUND(H92*I92*12,0)</f>
        <v>53140</v>
      </c>
      <c r="K92" s="138">
        <f>+D92+G92+J92</f>
        <v>184266</v>
      </c>
      <c r="M92" s="165">
        <f>+I92</f>
        <v>870</v>
      </c>
      <c r="N92" s="165">
        <v>80</v>
      </c>
      <c r="O92" s="165">
        <f>M92*N92</f>
        <v>69600</v>
      </c>
      <c r="P92" s="166">
        <f>O92*12</f>
        <v>835200</v>
      </c>
      <c r="Q92" s="105"/>
      <c r="R92" s="108">
        <v>7.94</v>
      </c>
      <c r="S92" s="166">
        <f>+M92</f>
        <v>870</v>
      </c>
      <c r="T92" s="138">
        <f>R92*S92*12</f>
        <v>82893.600000000006</v>
      </c>
      <c r="U92" s="165">
        <f>+T92-D92</f>
        <v>-25682.399999999994</v>
      </c>
    </row>
    <row r="93" spans="1:21">
      <c r="A93" s="126"/>
      <c r="B93" s="141"/>
      <c r="C93" s="138"/>
      <c r="D93" s="138"/>
      <c r="E93" s="141"/>
      <c r="F93" s="138"/>
      <c r="G93" s="138"/>
      <c r="H93" s="141"/>
      <c r="I93" s="138"/>
      <c r="J93" s="138"/>
      <c r="K93" s="138"/>
      <c r="M93" s="165"/>
      <c r="N93" s="165"/>
      <c r="O93" s="105"/>
      <c r="P93" s="105"/>
      <c r="Q93" s="105"/>
      <c r="R93" s="108"/>
      <c r="S93" s="105"/>
      <c r="T93" s="105"/>
      <c r="U93" s="165"/>
    </row>
    <row r="94" spans="1:21">
      <c r="A94" s="136" t="s">
        <v>575</v>
      </c>
      <c r="B94" s="141">
        <f>+'2005 Stlgt Rates'!F81</f>
        <v>10.39</v>
      </c>
      <c r="C94" s="138">
        <f>+'Schedule 1'!D61</f>
        <v>43</v>
      </c>
      <c r="D94" s="138">
        <f>ROUND(B94*C94*12,0)</f>
        <v>5361</v>
      </c>
      <c r="E94" s="141">
        <f>+'2005 Stlgt Rates'!G81</f>
        <v>2.16</v>
      </c>
      <c r="F94" s="138">
        <f>+C94</f>
        <v>43</v>
      </c>
      <c r="G94" s="138">
        <f>ROUND(E94*F94*12,0)</f>
        <v>1115</v>
      </c>
      <c r="H94" s="141">
        <f>+'2005 Stlgt Rates'!H81</f>
        <v>0</v>
      </c>
      <c r="I94" s="138">
        <f>+F94</f>
        <v>43</v>
      </c>
      <c r="J94" s="138">
        <f>ROUND(H94*I94*12,0)</f>
        <v>0</v>
      </c>
      <c r="K94" s="138">
        <f>+D94+G94+J94</f>
        <v>6476</v>
      </c>
      <c r="M94" s="165">
        <f>+I94</f>
        <v>43</v>
      </c>
      <c r="N94" s="165">
        <v>80</v>
      </c>
      <c r="O94" s="165">
        <f>M94*N94</f>
        <v>3440</v>
      </c>
      <c r="P94" s="166">
        <f>O94*12</f>
        <v>41280</v>
      </c>
      <c r="Q94" s="105"/>
      <c r="R94" s="108">
        <v>7.94</v>
      </c>
      <c r="S94" s="166">
        <f>+M94</f>
        <v>43</v>
      </c>
      <c r="T94" s="138">
        <f>R94*S94*12</f>
        <v>4097.04</v>
      </c>
      <c r="U94" s="165">
        <f>+T94-D94</f>
        <v>-1263.96</v>
      </c>
    </row>
    <row r="95" spans="1:21">
      <c r="A95" s="126"/>
      <c r="B95" s="141"/>
      <c r="C95" s="138"/>
      <c r="D95" s="138"/>
      <c r="E95" s="141"/>
      <c r="F95" s="138"/>
      <c r="G95" s="138"/>
      <c r="H95" s="141"/>
      <c r="I95" s="138"/>
      <c r="J95" s="138"/>
      <c r="K95" s="138"/>
      <c r="M95" s="165"/>
      <c r="N95" s="165"/>
      <c r="O95" s="105"/>
      <c r="P95" s="105"/>
      <c r="Q95" s="105"/>
      <c r="R95" s="108"/>
      <c r="S95" s="105"/>
      <c r="T95" s="105"/>
      <c r="U95" s="165"/>
    </row>
    <row r="96" spans="1:21">
      <c r="A96" s="142" t="s">
        <v>576</v>
      </c>
      <c r="B96" s="143">
        <f>+'2005 Stlgt Rates'!F147</f>
        <v>7.94</v>
      </c>
      <c r="C96" s="144">
        <f>+'Schedule 1'!E61</f>
        <v>37</v>
      </c>
      <c r="D96" s="144">
        <f>ROUND(B96*C96*12,0)</f>
        <v>3525</v>
      </c>
      <c r="E96" s="143">
        <f>+'2005 Stlgt Rates'!G147</f>
        <v>0</v>
      </c>
      <c r="F96" s="144">
        <f>+C96</f>
        <v>37</v>
      </c>
      <c r="G96" s="144">
        <f>ROUND(E96*F96*12,0)</f>
        <v>0</v>
      </c>
      <c r="H96" s="143">
        <f>+'2005 Stlgt Rates'!H147</f>
        <v>0</v>
      </c>
      <c r="I96" s="153">
        <f>+F96</f>
        <v>37</v>
      </c>
      <c r="J96" s="144">
        <f>ROUND(H96*I96*12,0)</f>
        <v>0</v>
      </c>
      <c r="K96" s="144">
        <f>+D96+G96+J96</f>
        <v>3525</v>
      </c>
      <c r="M96" s="165">
        <f>+I96</f>
        <v>37</v>
      </c>
      <c r="N96" s="165">
        <v>80</v>
      </c>
      <c r="O96" s="165">
        <f>M96*N96</f>
        <v>2960</v>
      </c>
      <c r="P96" s="166">
        <f>O96*12</f>
        <v>35520</v>
      </c>
      <c r="Q96" s="105"/>
      <c r="R96" s="97">
        <v>7.94</v>
      </c>
      <c r="S96" s="146">
        <f>+M96</f>
        <v>37</v>
      </c>
      <c r="T96" s="153">
        <f>R96*S96*12</f>
        <v>3525.3600000000006</v>
      </c>
      <c r="U96" s="145">
        <f>+T96-D96</f>
        <v>0.36000000000058208</v>
      </c>
    </row>
    <row r="97" spans="1:21">
      <c r="A97" s="126"/>
      <c r="B97" s="141"/>
      <c r="C97" s="138"/>
      <c r="D97" s="138"/>
      <c r="E97" s="141"/>
      <c r="F97" s="138"/>
      <c r="G97" s="138"/>
      <c r="H97" s="141"/>
      <c r="I97" s="138"/>
      <c r="J97" s="138"/>
      <c r="K97" s="138"/>
      <c r="M97" s="165"/>
      <c r="N97" s="165"/>
      <c r="O97" s="105"/>
      <c r="P97" s="105"/>
      <c r="Q97" s="105"/>
      <c r="R97" s="108"/>
      <c r="S97" s="105"/>
      <c r="T97" s="105"/>
      <c r="U97" s="165"/>
    </row>
    <row r="98" spans="1:21">
      <c r="A98" s="154" t="s">
        <v>33</v>
      </c>
      <c r="B98" s="141"/>
      <c r="C98" s="161">
        <f>SUM(C90:C96)</f>
        <v>1013</v>
      </c>
      <c r="D98" s="161">
        <f>SUM(D90:D96)</f>
        <v>123312</v>
      </c>
      <c r="E98" s="141"/>
      <c r="F98" s="161">
        <f>SUM(F90:F96)</f>
        <v>1013</v>
      </c>
      <c r="G98" s="161">
        <f>SUM(G90:G96)</f>
        <v>25298</v>
      </c>
      <c r="H98" s="141"/>
      <c r="I98" s="161">
        <f>SUM(I90:I96)</f>
        <v>1013</v>
      </c>
      <c r="J98" s="161">
        <f>SUM(J90:J96)</f>
        <v>56988</v>
      </c>
      <c r="K98" s="161">
        <f>SUM(K90:K96)</f>
        <v>205598</v>
      </c>
      <c r="M98" s="165">
        <f>SUM(M90:M97)</f>
        <v>1013</v>
      </c>
      <c r="N98" s="165"/>
      <c r="O98" s="165">
        <f>SUM(O90:O97)</f>
        <v>79750</v>
      </c>
      <c r="P98" s="165">
        <f>SUM(P90:P97)</f>
        <v>957000</v>
      </c>
      <c r="Q98" s="105"/>
      <c r="R98" s="108"/>
      <c r="S98" s="162">
        <f>SUM(S90:S97)</f>
        <v>1013</v>
      </c>
      <c r="T98" s="162">
        <f>SUM(T90:T97)</f>
        <v>94986</v>
      </c>
      <c r="U98" s="152">
        <f>SUM(U90:U97)</f>
        <v>-28325.999999999993</v>
      </c>
    </row>
    <row r="99" spans="1:21">
      <c r="A99" s="126"/>
      <c r="B99" s="141"/>
      <c r="C99" s="138"/>
      <c r="D99" s="138"/>
      <c r="E99" s="141"/>
      <c r="F99" s="138"/>
      <c r="G99" s="138"/>
      <c r="H99" s="141"/>
      <c r="I99" s="138"/>
      <c r="J99" s="138"/>
      <c r="K99" s="138"/>
      <c r="M99" s="165"/>
      <c r="N99" s="165"/>
      <c r="O99" s="105"/>
      <c r="P99" s="105"/>
      <c r="Q99" s="105"/>
      <c r="R99" s="108"/>
      <c r="S99" s="105"/>
      <c r="T99" s="105"/>
      <c r="U99" s="165"/>
    </row>
    <row r="100" spans="1:21">
      <c r="A100" s="154" t="s">
        <v>613</v>
      </c>
      <c r="B100" s="141"/>
      <c r="C100" s="138"/>
      <c r="D100" s="138"/>
      <c r="E100" s="141"/>
      <c r="F100" s="138"/>
      <c r="G100" s="138"/>
      <c r="H100" s="141"/>
      <c r="I100" s="138"/>
      <c r="J100" s="138"/>
      <c r="K100" s="138"/>
      <c r="M100" s="165"/>
      <c r="N100" s="165"/>
      <c r="O100" s="105"/>
      <c r="P100" s="105"/>
      <c r="Q100" s="105"/>
      <c r="R100" s="108"/>
      <c r="S100" s="105"/>
      <c r="T100" s="105"/>
      <c r="U100" s="165"/>
    </row>
    <row r="101" spans="1:21">
      <c r="A101" s="126"/>
      <c r="B101" s="141"/>
      <c r="C101" s="138"/>
      <c r="D101" s="138"/>
      <c r="E101" s="141"/>
      <c r="F101" s="138"/>
      <c r="G101" s="138"/>
      <c r="H101" s="141"/>
      <c r="I101" s="138"/>
      <c r="J101" s="138"/>
      <c r="K101" s="138"/>
      <c r="M101" s="165"/>
      <c r="N101" s="165"/>
      <c r="O101" s="105"/>
      <c r="P101" s="105"/>
      <c r="Q101" s="105"/>
      <c r="R101" s="108"/>
      <c r="S101" s="105"/>
      <c r="T101" s="105"/>
      <c r="U101" s="165"/>
    </row>
    <row r="102" spans="1:21">
      <c r="A102" s="136" t="s">
        <v>577</v>
      </c>
      <c r="B102" s="141">
        <f>+'2005 Stlgt Rates'!F87</f>
        <v>4.17</v>
      </c>
      <c r="C102" s="138">
        <f>+'Schedule 1'!C53</f>
        <v>38321</v>
      </c>
      <c r="D102" s="138">
        <f t="shared" ref="D102:D107" si="64">ROUND(B102*C102*12,0)</f>
        <v>1917583</v>
      </c>
      <c r="E102" s="141">
        <f>+'2005 Stlgt Rates'!G87</f>
        <v>0.86</v>
      </c>
      <c r="F102" s="138">
        <f t="shared" ref="F102:F107" si="65">+C102</f>
        <v>38321</v>
      </c>
      <c r="G102" s="138">
        <f t="shared" ref="G102:G107" si="66">ROUND(E102*F102*12,0)</f>
        <v>395473</v>
      </c>
      <c r="H102" s="141">
        <f>+'2005 Stlgt Rates'!H87</f>
        <v>5.09</v>
      </c>
      <c r="I102" s="138">
        <f t="shared" ref="I102:I107" si="67">+F102</f>
        <v>38321</v>
      </c>
      <c r="J102" s="138">
        <f t="shared" ref="J102:J107" si="68">ROUND(H102*I102*12,0)</f>
        <v>2340647</v>
      </c>
      <c r="K102" s="138">
        <f t="shared" ref="K102:K107" si="69">+D102+G102+J102</f>
        <v>4653703</v>
      </c>
      <c r="M102" s="165">
        <f t="shared" ref="M102:M107" si="70">+I102</f>
        <v>38321</v>
      </c>
      <c r="N102" s="165">
        <v>32</v>
      </c>
      <c r="O102" s="165">
        <f t="shared" ref="O102:O107" si="71">M102*N102</f>
        <v>1226272</v>
      </c>
      <c r="P102" s="166">
        <f t="shared" ref="P102:P107" si="72">O102*12</f>
        <v>14715264</v>
      </c>
      <c r="Q102" s="105"/>
      <c r="R102" s="108">
        <v>3.17</v>
      </c>
      <c r="S102" s="166">
        <f t="shared" ref="S102:S107" si="73">+M102</f>
        <v>38321</v>
      </c>
      <c r="T102" s="138">
        <f t="shared" ref="T102:T107" si="74">R102*S102*12</f>
        <v>1457730.8399999999</v>
      </c>
      <c r="U102" s="165">
        <f t="shared" ref="U102:U107" si="75">+T102-D102</f>
        <v>-459852.16000000015</v>
      </c>
    </row>
    <row r="103" spans="1:21">
      <c r="A103" s="136" t="s">
        <v>578</v>
      </c>
      <c r="B103" s="141">
        <f>+'2005 Stlgt Rates'!F89</f>
        <v>5.85</v>
      </c>
      <c r="C103" s="138">
        <f>+'Schedule 1'!C54</f>
        <v>45889</v>
      </c>
      <c r="D103" s="138">
        <f t="shared" si="64"/>
        <v>3221408</v>
      </c>
      <c r="E103" s="141">
        <f>+'2005 Stlgt Rates'!G89</f>
        <v>0.86</v>
      </c>
      <c r="F103" s="138">
        <f t="shared" si="65"/>
        <v>45889</v>
      </c>
      <c r="G103" s="138">
        <f t="shared" si="66"/>
        <v>473574</v>
      </c>
      <c r="H103" s="141">
        <f>+'2005 Stlgt Rates'!H89</f>
        <v>5.09</v>
      </c>
      <c r="I103" s="138">
        <f t="shared" si="67"/>
        <v>45889</v>
      </c>
      <c r="J103" s="138">
        <f t="shared" si="68"/>
        <v>2802900</v>
      </c>
      <c r="K103" s="138">
        <f t="shared" si="69"/>
        <v>6497882</v>
      </c>
      <c r="M103" s="165">
        <f t="shared" si="70"/>
        <v>45889</v>
      </c>
      <c r="N103" s="165">
        <v>45</v>
      </c>
      <c r="O103" s="165">
        <f t="shared" si="71"/>
        <v>2065005</v>
      </c>
      <c r="P103" s="166">
        <f t="shared" si="72"/>
        <v>24780060</v>
      </c>
      <c r="Q103" s="105"/>
      <c r="R103" s="108">
        <v>4.47</v>
      </c>
      <c r="S103" s="166">
        <f t="shared" si="73"/>
        <v>45889</v>
      </c>
      <c r="T103" s="138">
        <f t="shared" si="74"/>
        <v>2461485.96</v>
      </c>
      <c r="U103" s="165">
        <f t="shared" si="75"/>
        <v>-759922.04</v>
      </c>
    </row>
    <row r="104" spans="1:21">
      <c r="A104" s="136" t="s">
        <v>579</v>
      </c>
      <c r="B104" s="141">
        <f>+'2005 Stlgt Rates'!F91</f>
        <v>8.4600000000000009</v>
      </c>
      <c r="C104" s="138">
        <f>+'Schedule 1'!C55</f>
        <v>5241</v>
      </c>
      <c r="D104" s="138">
        <f t="shared" si="64"/>
        <v>532066</v>
      </c>
      <c r="E104" s="141">
        <f>+'2005 Stlgt Rates'!G91</f>
        <v>0.86</v>
      </c>
      <c r="F104" s="138">
        <f t="shared" si="65"/>
        <v>5241</v>
      </c>
      <c r="G104" s="138">
        <f t="shared" si="66"/>
        <v>54087</v>
      </c>
      <c r="H104" s="141">
        <f>+'2005 Stlgt Rates'!H91</f>
        <v>5.09</v>
      </c>
      <c r="I104" s="138">
        <f t="shared" si="67"/>
        <v>5241</v>
      </c>
      <c r="J104" s="138">
        <f t="shared" si="68"/>
        <v>320120</v>
      </c>
      <c r="K104" s="138">
        <f t="shared" si="69"/>
        <v>906273</v>
      </c>
      <c r="M104" s="165">
        <f t="shared" si="70"/>
        <v>5241</v>
      </c>
      <c r="N104" s="165">
        <v>65</v>
      </c>
      <c r="O104" s="165">
        <f t="shared" si="71"/>
        <v>340665</v>
      </c>
      <c r="P104" s="166">
        <f t="shared" si="72"/>
        <v>4087980</v>
      </c>
      <c r="Q104" s="105"/>
      <c r="R104" s="108">
        <v>6.45</v>
      </c>
      <c r="S104" s="166">
        <f t="shared" si="73"/>
        <v>5241</v>
      </c>
      <c r="T104" s="138">
        <f t="shared" si="74"/>
        <v>405653.4</v>
      </c>
      <c r="U104" s="165">
        <f t="shared" si="75"/>
        <v>-126412.59999999998</v>
      </c>
    </row>
    <row r="105" spans="1:21">
      <c r="A105" s="136" t="s">
        <v>580</v>
      </c>
      <c r="B105" s="141">
        <f>+'2005 Stlgt Rates'!F93</f>
        <v>13</v>
      </c>
      <c r="C105" s="138">
        <f>+'Schedule 1'!C51</f>
        <v>5256</v>
      </c>
      <c r="D105" s="138">
        <f t="shared" si="64"/>
        <v>819936</v>
      </c>
      <c r="E105" s="141">
        <f>+'2005 Stlgt Rates'!G93</f>
        <v>0.86</v>
      </c>
      <c r="F105" s="138">
        <f t="shared" si="65"/>
        <v>5256</v>
      </c>
      <c r="G105" s="138">
        <f t="shared" si="66"/>
        <v>54242</v>
      </c>
      <c r="H105" s="141">
        <f>+'2005 Stlgt Rates'!H93</f>
        <v>5.09</v>
      </c>
      <c r="I105" s="138">
        <f t="shared" si="67"/>
        <v>5256</v>
      </c>
      <c r="J105" s="138">
        <f t="shared" si="68"/>
        <v>321036</v>
      </c>
      <c r="K105" s="138">
        <f t="shared" si="69"/>
        <v>1195214</v>
      </c>
      <c r="M105" s="165">
        <f t="shared" si="70"/>
        <v>5256</v>
      </c>
      <c r="N105" s="165">
        <v>100</v>
      </c>
      <c r="O105" s="165">
        <f t="shared" si="71"/>
        <v>525600</v>
      </c>
      <c r="P105" s="166">
        <f t="shared" si="72"/>
        <v>6307200</v>
      </c>
      <c r="Q105" s="105"/>
      <c r="R105" s="108">
        <v>9.93</v>
      </c>
      <c r="S105" s="166">
        <f t="shared" si="73"/>
        <v>5256</v>
      </c>
      <c r="T105" s="138">
        <f t="shared" si="74"/>
        <v>626304.96</v>
      </c>
      <c r="U105" s="165">
        <f t="shared" si="75"/>
        <v>-193631.04000000004</v>
      </c>
    </row>
    <row r="106" spans="1:21">
      <c r="A106" s="136" t="s">
        <v>581</v>
      </c>
      <c r="B106" s="141">
        <f>+'2005 Stlgt Rates'!F95</f>
        <v>19.47</v>
      </c>
      <c r="C106" s="138">
        <f>+'Schedule 1'!C52</f>
        <v>3667</v>
      </c>
      <c r="D106" s="138">
        <f t="shared" si="64"/>
        <v>856758</v>
      </c>
      <c r="E106" s="141">
        <f>+'2005 Stlgt Rates'!G95</f>
        <v>0.86</v>
      </c>
      <c r="F106" s="138">
        <f t="shared" si="65"/>
        <v>3667</v>
      </c>
      <c r="G106" s="138">
        <f t="shared" si="66"/>
        <v>37843</v>
      </c>
      <c r="H106" s="141">
        <f>+'2005 Stlgt Rates'!H95</f>
        <v>5.09</v>
      </c>
      <c r="I106" s="138">
        <f t="shared" si="67"/>
        <v>3667</v>
      </c>
      <c r="J106" s="138">
        <f t="shared" si="68"/>
        <v>223980</v>
      </c>
      <c r="K106" s="138">
        <f t="shared" si="69"/>
        <v>1118581</v>
      </c>
      <c r="M106" s="165">
        <f t="shared" si="70"/>
        <v>3667</v>
      </c>
      <c r="N106" s="165">
        <v>150</v>
      </c>
      <c r="O106" s="165">
        <f t="shared" si="71"/>
        <v>550050</v>
      </c>
      <c r="P106" s="166">
        <f t="shared" si="72"/>
        <v>6600600</v>
      </c>
      <c r="Q106" s="105"/>
      <c r="R106" s="108">
        <v>14.89</v>
      </c>
      <c r="S106" s="166">
        <f t="shared" si="73"/>
        <v>3667</v>
      </c>
      <c r="T106" s="138">
        <f t="shared" si="74"/>
        <v>655219.56000000006</v>
      </c>
      <c r="U106" s="165">
        <f t="shared" si="75"/>
        <v>-201538.43999999994</v>
      </c>
    </row>
    <row r="107" spans="1:21">
      <c r="A107" s="142" t="s">
        <v>696</v>
      </c>
      <c r="B107" s="143">
        <f>+'2005 Stlgt Rates'!F153</f>
        <v>36.06</v>
      </c>
      <c r="C107" s="153">
        <f>+'Schedule 1'!C57</f>
        <v>7</v>
      </c>
      <c r="D107" s="153">
        <f t="shared" si="64"/>
        <v>3029</v>
      </c>
      <c r="E107" s="143">
        <f>+'2005 Stlgt Rates'!G153</f>
        <v>3.89</v>
      </c>
      <c r="F107" s="153">
        <f t="shared" si="65"/>
        <v>7</v>
      </c>
      <c r="G107" s="153">
        <f t="shared" si="66"/>
        <v>327</v>
      </c>
      <c r="H107" s="143">
        <f>+'2005 Stlgt Rates'!H153</f>
        <v>16.479999999999997</v>
      </c>
      <c r="I107" s="153">
        <f t="shared" si="67"/>
        <v>7</v>
      </c>
      <c r="J107" s="153">
        <f t="shared" si="68"/>
        <v>1384</v>
      </c>
      <c r="K107" s="153">
        <f t="shared" si="69"/>
        <v>4740</v>
      </c>
      <c r="M107" s="145">
        <f t="shared" si="70"/>
        <v>7</v>
      </c>
      <c r="N107" s="145">
        <v>363</v>
      </c>
      <c r="O107" s="145">
        <f t="shared" si="71"/>
        <v>2541</v>
      </c>
      <c r="P107" s="146">
        <f t="shared" si="72"/>
        <v>30492</v>
      </c>
      <c r="Q107" s="105"/>
      <c r="R107" s="97">
        <v>3.17</v>
      </c>
      <c r="S107" s="146">
        <f t="shared" si="73"/>
        <v>7</v>
      </c>
      <c r="T107" s="153">
        <f t="shared" si="74"/>
        <v>266.27999999999997</v>
      </c>
      <c r="U107" s="145">
        <f t="shared" si="75"/>
        <v>-2762.7200000000003</v>
      </c>
    </row>
    <row r="108" spans="1:21">
      <c r="A108" s="126"/>
      <c r="B108" s="141"/>
      <c r="C108" s="138"/>
      <c r="D108" s="138"/>
      <c r="E108" s="141"/>
      <c r="F108" s="138"/>
      <c r="G108" s="138"/>
      <c r="H108" s="141"/>
      <c r="I108" s="138"/>
      <c r="J108" s="138"/>
      <c r="K108" s="138"/>
      <c r="M108" s="165"/>
      <c r="N108" s="165"/>
      <c r="O108" s="105"/>
      <c r="P108" s="105"/>
      <c r="Q108" s="105"/>
      <c r="R108" s="108"/>
      <c r="S108" s="105"/>
      <c r="T108" s="105"/>
      <c r="U108" s="165"/>
    </row>
    <row r="109" spans="1:21">
      <c r="A109" s="136" t="s">
        <v>582</v>
      </c>
      <c r="B109" s="141">
        <f>+'2005 Stlgt Rates'!F88</f>
        <v>4.16</v>
      </c>
      <c r="C109" s="138">
        <f>+'Schedule 1'!D53</f>
        <v>224</v>
      </c>
      <c r="D109" s="138">
        <f>ROUND(B109*C109*12,0)</f>
        <v>11182</v>
      </c>
      <c r="E109" s="141">
        <f>+'2005 Stlgt Rates'!G88</f>
        <v>0.86</v>
      </c>
      <c r="F109" s="138">
        <f>+C109</f>
        <v>224</v>
      </c>
      <c r="G109" s="138">
        <f>ROUND(E109*F109*12,0)</f>
        <v>2312</v>
      </c>
      <c r="H109" s="141">
        <f>+'2005 Stlgt Rates'!H88</f>
        <v>0</v>
      </c>
      <c r="I109" s="138">
        <f>+F109</f>
        <v>224</v>
      </c>
      <c r="J109" s="138">
        <f>ROUND(H109*I109*12,0)</f>
        <v>0</v>
      </c>
      <c r="K109" s="138">
        <f>+D109+G109+J109</f>
        <v>13494</v>
      </c>
      <c r="M109" s="165">
        <f>+I109</f>
        <v>224</v>
      </c>
      <c r="N109" s="165">
        <v>32</v>
      </c>
      <c r="O109" s="165">
        <f>M109*N109</f>
        <v>7168</v>
      </c>
      <c r="P109" s="166">
        <f>O109*12</f>
        <v>86016</v>
      </c>
      <c r="Q109" s="105"/>
      <c r="R109" s="108">
        <v>3.17</v>
      </c>
      <c r="S109" s="166">
        <f>+M109</f>
        <v>224</v>
      </c>
      <c r="T109" s="138">
        <f>R109*S109*12</f>
        <v>8520.9599999999991</v>
      </c>
      <c r="U109" s="165">
        <f>+T109-D109</f>
        <v>-2661.0400000000009</v>
      </c>
    </row>
    <row r="110" spans="1:21">
      <c r="A110" s="136" t="s">
        <v>583</v>
      </c>
      <c r="B110" s="141">
        <f>+'2005 Stlgt Rates'!F90</f>
        <v>5.84</v>
      </c>
      <c r="C110" s="138">
        <f>+'Schedule 1'!D54</f>
        <v>110</v>
      </c>
      <c r="D110" s="138">
        <f>ROUND(B110*C110*12,0)</f>
        <v>7709</v>
      </c>
      <c r="E110" s="141">
        <f>+'2005 Stlgt Rates'!G90</f>
        <v>0.86</v>
      </c>
      <c r="F110" s="138">
        <f>+C110</f>
        <v>110</v>
      </c>
      <c r="G110" s="138">
        <f>ROUND(E110*F110*12,0)</f>
        <v>1135</v>
      </c>
      <c r="H110" s="141">
        <f>+'2005 Stlgt Rates'!H90</f>
        <v>0</v>
      </c>
      <c r="I110" s="138">
        <f>+F110</f>
        <v>110</v>
      </c>
      <c r="J110" s="138">
        <f>ROUND(H110*I110*12,0)</f>
        <v>0</v>
      </c>
      <c r="K110" s="138">
        <f>+D110+G110+J110</f>
        <v>8844</v>
      </c>
      <c r="M110" s="165">
        <f>+I110</f>
        <v>110</v>
      </c>
      <c r="N110" s="165">
        <v>45</v>
      </c>
      <c r="O110" s="165">
        <f>M110*N110</f>
        <v>4950</v>
      </c>
      <c r="P110" s="166">
        <f>O110*12</f>
        <v>59400</v>
      </c>
      <c r="Q110" s="105"/>
      <c r="R110" s="108">
        <v>4.47</v>
      </c>
      <c r="S110" s="166">
        <f>+M110</f>
        <v>110</v>
      </c>
      <c r="T110" s="138">
        <f>R110*S110*12</f>
        <v>5900.4</v>
      </c>
      <c r="U110" s="165">
        <f>+T110-D110</f>
        <v>-1808.6000000000004</v>
      </c>
    </row>
    <row r="111" spans="1:21">
      <c r="A111" s="136" t="s">
        <v>584</v>
      </c>
      <c r="B111" s="141">
        <f>+'2005 Stlgt Rates'!F92</f>
        <v>8.44</v>
      </c>
      <c r="C111" s="138">
        <f>+'Schedule 1'!D55</f>
        <v>232</v>
      </c>
      <c r="D111" s="138">
        <f>ROUND(B111*C111*12,0)</f>
        <v>23497</v>
      </c>
      <c r="E111" s="141">
        <f>+'2005 Stlgt Rates'!G92</f>
        <v>0.86</v>
      </c>
      <c r="F111" s="138">
        <f>+C111</f>
        <v>232</v>
      </c>
      <c r="G111" s="138">
        <f>ROUND(E111*F111*12,0)</f>
        <v>2394</v>
      </c>
      <c r="H111" s="141">
        <f>+'2005 Stlgt Rates'!H92</f>
        <v>1.2212453270876722E-15</v>
      </c>
      <c r="I111" s="138">
        <f>+F111</f>
        <v>232</v>
      </c>
      <c r="J111" s="138">
        <f>ROUND(H111*I111*12,0)</f>
        <v>0</v>
      </c>
      <c r="K111" s="138">
        <f>+D111+G111+J111</f>
        <v>25891</v>
      </c>
      <c r="M111" s="165">
        <f>+I111</f>
        <v>232</v>
      </c>
      <c r="N111" s="165">
        <v>65</v>
      </c>
      <c r="O111" s="165">
        <f>M111*N111</f>
        <v>15080</v>
      </c>
      <c r="P111" s="166">
        <f>O111*12</f>
        <v>180960</v>
      </c>
      <c r="Q111" s="105"/>
      <c r="R111" s="108">
        <v>6.45</v>
      </c>
      <c r="S111" s="166">
        <f>+M111</f>
        <v>232</v>
      </c>
      <c r="T111" s="138">
        <f>R111*S111*12</f>
        <v>17956.800000000003</v>
      </c>
      <c r="U111" s="165">
        <f>+T111-D111</f>
        <v>-5540.1999999999971</v>
      </c>
    </row>
    <row r="112" spans="1:21">
      <c r="A112" s="136" t="s">
        <v>585</v>
      </c>
      <c r="B112" s="141">
        <f>+'2005 Stlgt Rates'!F94</f>
        <v>13.01</v>
      </c>
      <c r="C112" s="138">
        <f>+'Schedule 1'!D51</f>
        <v>160</v>
      </c>
      <c r="D112" s="138">
        <f>ROUND(B112*C112*12,0)</f>
        <v>24979</v>
      </c>
      <c r="E112" s="141">
        <f>+'2005 Stlgt Rates'!G94</f>
        <v>0.86</v>
      </c>
      <c r="F112" s="138">
        <f>+C112</f>
        <v>160</v>
      </c>
      <c r="G112" s="138">
        <f>ROUND(E112*F112*12,0)</f>
        <v>1651</v>
      </c>
      <c r="H112" s="141">
        <f>+'2005 Stlgt Rates'!H94</f>
        <v>0</v>
      </c>
      <c r="I112" s="138">
        <f>+F112</f>
        <v>160</v>
      </c>
      <c r="J112" s="138">
        <f>ROUND(H112*I112*12,0)</f>
        <v>0</v>
      </c>
      <c r="K112" s="138">
        <f>+D112+G112+J112</f>
        <v>26630</v>
      </c>
      <c r="M112" s="165">
        <f>+I112</f>
        <v>160</v>
      </c>
      <c r="N112" s="165">
        <v>100</v>
      </c>
      <c r="O112" s="165">
        <f>M112*N112</f>
        <v>16000</v>
      </c>
      <c r="P112" s="166">
        <f>O112*12</f>
        <v>192000</v>
      </c>
      <c r="Q112" s="105"/>
      <c r="R112" s="108">
        <v>9.93</v>
      </c>
      <c r="S112" s="166">
        <f>+M112</f>
        <v>160</v>
      </c>
      <c r="T112" s="138">
        <f>R112*S112*12</f>
        <v>19065.599999999999</v>
      </c>
      <c r="U112" s="165">
        <f>+T112-D112</f>
        <v>-5913.4000000000015</v>
      </c>
    </row>
    <row r="113" spans="1:21">
      <c r="A113" s="126"/>
      <c r="B113" s="141"/>
      <c r="C113" s="138"/>
      <c r="D113" s="138"/>
      <c r="E113" s="141"/>
      <c r="F113" s="138"/>
      <c r="G113" s="138"/>
      <c r="H113" s="141"/>
      <c r="I113" s="138"/>
      <c r="J113" s="138"/>
      <c r="K113" s="138"/>
      <c r="M113" s="165"/>
      <c r="N113" s="165"/>
      <c r="O113" s="105"/>
      <c r="P113" s="105"/>
      <c r="Q113" s="105"/>
      <c r="R113" s="108"/>
      <c r="S113" s="105"/>
      <c r="T113" s="105"/>
      <c r="U113" s="165"/>
    </row>
    <row r="114" spans="1:21">
      <c r="A114" s="142" t="s">
        <v>586</v>
      </c>
      <c r="B114" s="143">
        <f>+'2005 Stlgt Rates'!F155</f>
        <v>3.17</v>
      </c>
      <c r="C114" s="153">
        <f>+'Schedule 1'!E53</f>
        <v>6299</v>
      </c>
      <c r="D114" s="153">
        <f t="shared" ref="D114:D119" si="76">ROUND(B114*C114*12,0)</f>
        <v>239614</v>
      </c>
      <c r="E114" s="143">
        <f>+'2005 Stlgt Rates'!G155</f>
        <v>0</v>
      </c>
      <c r="F114" s="153">
        <f t="shared" ref="F114:F119" si="77">+C114</f>
        <v>6299</v>
      </c>
      <c r="G114" s="153">
        <f t="shared" ref="G114:G119" si="78">ROUND(E114*F114*12,0)</f>
        <v>0</v>
      </c>
      <c r="H114" s="143">
        <f>+'2005 Stlgt Rates'!H155</f>
        <v>0</v>
      </c>
      <c r="I114" s="153">
        <f t="shared" ref="I114:I119" si="79">+F114</f>
        <v>6299</v>
      </c>
      <c r="J114" s="153">
        <f t="shared" ref="J114:J119" si="80">ROUND(H114*I114*12,0)</f>
        <v>0</v>
      </c>
      <c r="K114" s="153">
        <f t="shared" ref="K114:K119" si="81">+D114+G114+J114</f>
        <v>239614</v>
      </c>
      <c r="M114" s="145">
        <f t="shared" ref="M114:M119" si="82">+I114</f>
        <v>6299</v>
      </c>
      <c r="N114" s="145">
        <v>32</v>
      </c>
      <c r="O114" s="145">
        <f t="shared" ref="O114:O119" si="83">M114*N114</f>
        <v>201568</v>
      </c>
      <c r="P114" s="146">
        <f t="shared" ref="P114:P119" si="84">O114*12</f>
        <v>2418816</v>
      </c>
      <c r="Q114" s="105"/>
      <c r="R114" s="97">
        <v>3.17</v>
      </c>
      <c r="S114" s="146">
        <f t="shared" ref="S114:S119" si="85">+M114</f>
        <v>6299</v>
      </c>
      <c r="T114" s="153">
        <f t="shared" ref="T114:T119" si="86">R114*S114*12</f>
        <v>239613.95999999996</v>
      </c>
      <c r="U114" s="145">
        <f t="shared" ref="U114:U119" si="87">+T114-D114</f>
        <v>-4.0000000037252903E-2</v>
      </c>
    </row>
    <row r="115" spans="1:21">
      <c r="A115" s="142" t="s">
        <v>587</v>
      </c>
      <c r="B115" s="143">
        <f>+'2005 Stlgt Rates'!F156</f>
        <v>4.47</v>
      </c>
      <c r="C115" s="153">
        <f>+'Schedule 1'!E54</f>
        <v>2508</v>
      </c>
      <c r="D115" s="153">
        <f t="shared" si="76"/>
        <v>134529</v>
      </c>
      <c r="E115" s="143">
        <f>+'2005 Stlgt Rates'!G156</f>
        <v>0</v>
      </c>
      <c r="F115" s="153">
        <f t="shared" si="77"/>
        <v>2508</v>
      </c>
      <c r="G115" s="153">
        <f t="shared" si="78"/>
        <v>0</v>
      </c>
      <c r="H115" s="143">
        <f>+'2005 Stlgt Rates'!H156</f>
        <v>0</v>
      </c>
      <c r="I115" s="153">
        <f t="shared" si="79"/>
        <v>2508</v>
      </c>
      <c r="J115" s="153">
        <f t="shared" si="80"/>
        <v>0</v>
      </c>
      <c r="K115" s="153">
        <f t="shared" si="81"/>
        <v>134529</v>
      </c>
      <c r="M115" s="145">
        <f t="shared" si="82"/>
        <v>2508</v>
      </c>
      <c r="N115" s="145">
        <v>45</v>
      </c>
      <c r="O115" s="145">
        <f t="shared" si="83"/>
        <v>112860</v>
      </c>
      <c r="P115" s="146">
        <f t="shared" si="84"/>
        <v>1354320</v>
      </c>
      <c r="Q115" s="105"/>
      <c r="R115" s="97">
        <v>4.47</v>
      </c>
      <c r="S115" s="146">
        <f t="shared" si="85"/>
        <v>2508</v>
      </c>
      <c r="T115" s="153">
        <f t="shared" si="86"/>
        <v>134529.12</v>
      </c>
      <c r="U115" s="145">
        <f t="shared" si="87"/>
        <v>0.11999999999534339</v>
      </c>
    </row>
    <row r="116" spans="1:21">
      <c r="A116" s="142" t="s">
        <v>588</v>
      </c>
      <c r="B116" s="143">
        <f>+'2005 Stlgt Rates'!F157</f>
        <v>6.45</v>
      </c>
      <c r="C116" s="153">
        <f>+'Schedule 1'!E55</f>
        <v>1299</v>
      </c>
      <c r="D116" s="153">
        <f t="shared" si="76"/>
        <v>100543</v>
      </c>
      <c r="E116" s="143">
        <f>+'2005 Stlgt Rates'!G157</f>
        <v>0</v>
      </c>
      <c r="F116" s="153">
        <f t="shared" si="77"/>
        <v>1299</v>
      </c>
      <c r="G116" s="153">
        <f t="shared" si="78"/>
        <v>0</v>
      </c>
      <c r="H116" s="143">
        <f>+'2005 Stlgt Rates'!H157</f>
        <v>0</v>
      </c>
      <c r="I116" s="153">
        <f t="shared" si="79"/>
        <v>1299</v>
      </c>
      <c r="J116" s="153">
        <f t="shared" si="80"/>
        <v>0</v>
      </c>
      <c r="K116" s="153">
        <f t="shared" si="81"/>
        <v>100543</v>
      </c>
      <c r="M116" s="145">
        <f t="shared" si="82"/>
        <v>1299</v>
      </c>
      <c r="N116" s="145">
        <v>65</v>
      </c>
      <c r="O116" s="145">
        <f t="shared" si="83"/>
        <v>84435</v>
      </c>
      <c r="P116" s="146">
        <f t="shared" si="84"/>
        <v>1013220</v>
      </c>
      <c r="Q116" s="105"/>
      <c r="R116" s="97">
        <v>6.45</v>
      </c>
      <c r="S116" s="146">
        <f t="shared" si="85"/>
        <v>1299</v>
      </c>
      <c r="T116" s="153">
        <f t="shared" si="86"/>
        <v>100542.6</v>
      </c>
      <c r="U116" s="145">
        <f t="shared" si="87"/>
        <v>-0.39999999999417923</v>
      </c>
    </row>
    <row r="117" spans="1:21">
      <c r="A117" s="142" t="s">
        <v>589</v>
      </c>
      <c r="B117" s="143">
        <f>+'2005 Stlgt Rates'!F158</f>
        <v>9.93</v>
      </c>
      <c r="C117" s="153">
        <f>+'Schedule 1'!E51</f>
        <v>1677</v>
      </c>
      <c r="D117" s="153">
        <f t="shared" si="76"/>
        <v>199831</v>
      </c>
      <c r="E117" s="143">
        <f>+'2005 Stlgt Rates'!G158</f>
        <v>0</v>
      </c>
      <c r="F117" s="153">
        <f t="shared" si="77"/>
        <v>1677</v>
      </c>
      <c r="G117" s="153">
        <f t="shared" si="78"/>
        <v>0</v>
      </c>
      <c r="H117" s="143">
        <f>+'2005 Stlgt Rates'!H158</f>
        <v>0</v>
      </c>
      <c r="I117" s="153">
        <f t="shared" si="79"/>
        <v>1677</v>
      </c>
      <c r="J117" s="153">
        <f t="shared" si="80"/>
        <v>0</v>
      </c>
      <c r="K117" s="153">
        <f t="shared" si="81"/>
        <v>199831</v>
      </c>
      <c r="M117" s="145">
        <f t="shared" si="82"/>
        <v>1677</v>
      </c>
      <c r="N117" s="145">
        <v>100</v>
      </c>
      <c r="O117" s="145">
        <f t="shared" si="83"/>
        <v>167700</v>
      </c>
      <c r="P117" s="146">
        <f t="shared" si="84"/>
        <v>2012400</v>
      </c>
      <c r="Q117" s="105"/>
      <c r="R117" s="97">
        <v>9.93</v>
      </c>
      <c r="S117" s="146">
        <f t="shared" si="85"/>
        <v>1677</v>
      </c>
      <c r="T117" s="153">
        <f t="shared" si="86"/>
        <v>199831.32</v>
      </c>
      <c r="U117" s="145">
        <f t="shared" si="87"/>
        <v>0.32000000000698492</v>
      </c>
    </row>
    <row r="118" spans="1:21">
      <c r="A118" s="142" t="s">
        <v>590</v>
      </c>
      <c r="B118" s="143">
        <f>+'2005 Stlgt Rates'!F159</f>
        <v>14.89</v>
      </c>
      <c r="C118" s="153">
        <f>+'Schedule 1'!E52</f>
        <v>86</v>
      </c>
      <c r="D118" s="153">
        <f t="shared" si="76"/>
        <v>15366</v>
      </c>
      <c r="E118" s="143">
        <f>+'2005 Stlgt Rates'!G159</f>
        <v>0</v>
      </c>
      <c r="F118" s="153">
        <f t="shared" si="77"/>
        <v>86</v>
      </c>
      <c r="G118" s="153">
        <f t="shared" si="78"/>
        <v>0</v>
      </c>
      <c r="H118" s="143">
        <f>+'2005 Stlgt Rates'!H159</f>
        <v>0</v>
      </c>
      <c r="I118" s="153">
        <f t="shared" si="79"/>
        <v>86</v>
      </c>
      <c r="J118" s="153">
        <f t="shared" si="80"/>
        <v>0</v>
      </c>
      <c r="K118" s="153">
        <f t="shared" si="81"/>
        <v>15366</v>
      </c>
      <c r="M118" s="145">
        <f t="shared" si="82"/>
        <v>86</v>
      </c>
      <c r="N118" s="145">
        <v>150</v>
      </c>
      <c r="O118" s="145">
        <f t="shared" si="83"/>
        <v>12900</v>
      </c>
      <c r="P118" s="146">
        <f t="shared" si="84"/>
        <v>154800</v>
      </c>
      <c r="Q118" s="105"/>
      <c r="R118" s="97">
        <v>14.89</v>
      </c>
      <c r="S118" s="146">
        <f t="shared" si="85"/>
        <v>86</v>
      </c>
      <c r="T118" s="153">
        <f t="shared" si="86"/>
        <v>15366.48</v>
      </c>
      <c r="U118" s="145">
        <f t="shared" si="87"/>
        <v>0.47999999999956344</v>
      </c>
    </row>
    <row r="119" spans="1:21">
      <c r="A119" s="142" t="s">
        <v>591</v>
      </c>
      <c r="B119" s="143">
        <f>+'2005 Stlgt Rates'!F160</f>
        <v>18.190000000000001</v>
      </c>
      <c r="C119" s="144">
        <f>+'Schedule 1'!E56</f>
        <v>3</v>
      </c>
      <c r="D119" s="144">
        <f t="shared" si="76"/>
        <v>655</v>
      </c>
      <c r="E119" s="143">
        <f>+'2005 Stlgt Rates'!G160</f>
        <v>0</v>
      </c>
      <c r="F119" s="153">
        <f t="shared" si="77"/>
        <v>3</v>
      </c>
      <c r="G119" s="144">
        <f t="shared" si="78"/>
        <v>0</v>
      </c>
      <c r="H119" s="143">
        <f>+'2005 Stlgt Rates'!H160</f>
        <v>0</v>
      </c>
      <c r="I119" s="153">
        <f t="shared" si="79"/>
        <v>3</v>
      </c>
      <c r="J119" s="144">
        <f t="shared" si="80"/>
        <v>0</v>
      </c>
      <c r="K119" s="144">
        <f t="shared" si="81"/>
        <v>655</v>
      </c>
      <c r="M119" s="145">
        <f t="shared" si="82"/>
        <v>3</v>
      </c>
      <c r="N119" s="145">
        <v>183</v>
      </c>
      <c r="O119" s="145">
        <f t="shared" si="83"/>
        <v>549</v>
      </c>
      <c r="P119" s="146">
        <f t="shared" si="84"/>
        <v>6588</v>
      </c>
      <c r="Q119" s="105"/>
      <c r="R119" s="97">
        <v>18.190000000000001</v>
      </c>
      <c r="S119" s="146">
        <f t="shared" si="85"/>
        <v>3</v>
      </c>
      <c r="T119" s="153">
        <f t="shared" si="86"/>
        <v>654.84000000000015</v>
      </c>
      <c r="U119" s="145">
        <f t="shared" si="87"/>
        <v>-0.15999999999985448</v>
      </c>
    </row>
    <row r="120" spans="1:21">
      <c r="A120" s="126"/>
      <c r="B120" s="141"/>
      <c r="C120" s="138"/>
      <c r="D120" s="138"/>
      <c r="E120" s="141"/>
      <c r="F120" s="138"/>
      <c r="G120" s="138"/>
      <c r="H120" s="141"/>
      <c r="I120" s="138"/>
      <c r="J120" s="138"/>
      <c r="K120" s="138"/>
      <c r="M120" s="165"/>
      <c r="N120" s="165"/>
      <c r="O120" s="105"/>
      <c r="P120" s="105"/>
      <c r="Q120" s="105"/>
      <c r="R120" s="108"/>
      <c r="S120" s="105"/>
      <c r="T120" s="105"/>
      <c r="U120" s="165"/>
    </row>
    <row r="121" spans="1:21">
      <c r="A121" s="154" t="s">
        <v>33</v>
      </c>
      <c r="B121" s="141"/>
      <c r="C121" s="161">
        <f>SUM(C102:C119)</f>
        <v>110979</v>
      </c>
      <c r="D121" s="161">
        <f>SUM(D102:D119)</f>
        <v>8108685</v>
      </c>
      <c r="E121" s="141"/>
      <c r="F121" s="161">
        <f>SUM(F102:F119)</f>
        <v>110979</v>
      </c>
      <c r="G121" s="161">
        <f>SUM(G102:G119)</f>
        <v>1023038</v>
      </c>
      <c r="H121" s="141"/>
      <c r="I121" s="161">
        <f>SUM(I102:I119)</f>
        <v>110979</v>
      </c>
      <c r="J121" s="161">
        <f>SUM(J102:J119)</f>
        <v>6010067</v>
      </c>
      <c r="K121" s="161">
        <f>SUM(K102:K119)</f>
        <v>15141790</v>
      </c>
      <c r="M121" s="165">
        <f>SUM(M102:M120)</f>
        <v>110979</v>
      </c>
      <c r="N121" s="165"/>
      <c r="O121" s="165">
        <f>SUM(O102:O120)</f>
        <v>5333343</v>
      </c>
      <c r="P121" s="165">
        <f>SUM(P102:P120)</f>
        <v>64000116</v>
      </c>
      <c r="Q121" s="105"/>
      <c r="R121" s="108"/>
      <c r="S121" s="162">
        <f>SUM(S102:S120)</f>
        <v>110979</v>
      </c>
      <c r="T121" s="162">
        <f>SUM(T102:T120)</f>
        <v>6348643.080000001</v>
      </c>
      <c r="U121" s="152">
        <f>SUM(U102:U120)</f>
        <v>-1760041.92</v>
      </c>
    </row>
    <row r="122" spans="1:21">
      <c r="A122" s="126"/>
      <c r="B122" s="141"/>
      <c r="C122" s="138"/>
      <c r="D122" s="138"/>
      <c r="E122" s="141"/>
      <c r="F122" s="138"/>
      <c r="G122" s="138"/>
      <c r="H122" s="141"/>
      <c r="I122" s="138"/>
      <c r="J122" s="138"/>
      <c r="K122" s="138"/>
      <c r="M122" s="165"/>
      <c r="N122" s="165"/>
      <c r="O122" s="105"/>
      <c r="P122" s="105"/>
      <c r="Q122" s="105"/>
      <c r="R122" s="108"/>
      <c r="S122" s="105"/>
      <c r="T122" s="105"/>
      <c r="U122" s="165"/>
    </row>
    <row r="123" spans="1:21">
      <c r="A123" s="154" t="s">
        <v>592</v>
      </c>
      <c r="B123" s="141"/>
      <c r="C123" s="138"/>
      <c r="D123" s="138"/>
      <c r="E123" s="141"/>
      <c r="F123" s="138"/>
      <c r="G123" s="138"/>
      <c r="H123" s="141"/>
      <c r="I123" s="138"/>
      <c r="J123" s="138"/>
      <c r="K123" s="138"/>
      <c r="M123" s="165"/>
      <c r="N123" s="165"/>
      <c r="O123" s="105"/>
      <c r="P123" s="105"/>
      <c r="Q123" s="105"/>
      <c r="R123" s="108"/>
      <c r="S123" s="105"/>
      <c r="T123" s="105"/>
      <c r="U123" s="165"/>
    </row>
    <row r="124" spans="1:21">
      <c r="A124" s="126"/>
      <c r="B124" s="141"/>
      <c r="C124" s="138"/>
      <c r="D124" s="138"/>
      <c r="E124" s="141"/>
      <c r="F124" s="138"/>
      <c r="G124" s="138"/>
      <c r="H124" s="141"/>
      <c r="I124" s="138"/>
      <c r="J124" s="138"/>
      <c r="K124" s="138"/>
      <c r="M124" s="165"/>
      <c r="N124" s="165"/>
      <c r="O124" s="105"/>
      <c r="P124" s="105"/>
      <c r="Q124" s="105"/>
      <c r="R124" s="108"/>
      <c r="S124" s="105"/>
      <c r="T124" s="105"/>
      <c r="U124" s="165"/>
    </row>
    <row r="125" spans="1:21">
      <c r="A125" s="136" t="s">
        <v>593</v>
      </c>
      <c r="B125" s="141">
        <f>+'2005 Stlgt Rates'!F101</f>
        <v>19.5</v>
      </c>
      <c r="C125" s="138">
        <f>+'Schedule 1'!C65</f>
        <v>1215</v>
      </c>
      <c r="D125" s="138">
        <f>ROUND(B125*C125*12,0)</f>
        <v>284310</v>
      </c>
      <c r="E125" s="141">
        <f>+'2005 Stlgt Rates'!G101</f>
        <v>2.54</v>
      </c>
      <c r="F125" s="138">
        <f>+C125</f>
        <v>1215</v>
      </c>
      <c r="G125" s="138">
        <f>ROUND(E125*F125*12,0)</f>
        <v>37033</v>
      </c>
      <c r="H125" s="141">
        <f>+'2005 Stlgt Rates'!H101</f>
        <v>9.09</v>
      </c>
      <c r="I125" s="138">
        <f>+F125</f>
        <v>1215</v>
      </c>
      <c r="J125" s="138">
        <f>ROUND(H125*I125*12,0)</f>
        <v>132532</v>
      </c>
      <c r="K125" s="138">
        <f>+D125+G125+J125</f>
        <v>453875</v>
      </c>
      <c r="M125" s="165">
        <f>+I125</f>
        <v>1215</v>
      </c>
      <c r="N125" s="165">
        <v>150</v>
      </c>
      <c r="O125" s="165">
        <f>M125*N125</f>
        <v>182250</v>
      </c>
      <c r="P125" s="166">
        <f>O125*12</f>
        <v>2187000</v>
      </c>
      <c r="Q125" s="105"/>
      <c r="R125" s="108">
        <v>14.89</v>
      </c>
      <c r="S125" s="166">
        <f>+M125</f>
        <v>1215</v>
      </c>
      <c r="T125" s="138">
        <f>R125*S125*12</f>
        <v>217096.2</v>
      </c>
      <c r="U125" s="165">
        <f>+T125-D125</f>
        <v>-67213.799999999988</v>
      </c>
    </row>
    <row r="126" spans="1:21">
      <c r="A126" s="136" t="s">
        <v>594</v>
      </c>
      <c r="B126" s="141">
        <f>+'2005 Stlgt Rates'!F102</f>
        <v>46.77</v>
      </c>
      <c r="C126" s="138">
        <f>+'Schedule 1'!C66</f>
        <v>833</v>
      </c>
      <c r="D126" s="138">
        <f>ROUND(B126*C126*12,0)</f>
        <v>467513</v>
      </c>
      <c r="E126" s="141">
        <f>+'2005 Stlgt Rates'!G102</f>
        <v>3.75</v>
      </c>
      <c r="F126" s="138">
        <f>+C126</f>
        <v>833</v>
      </c>
      <c r="G126" s="138">
        <f>ROUND(E126*F126*12,0)</f>
        <v>37485</v>
      </c>
      <c r="H126" s="141">
        <f>+'2005 Stlgt Rates'!H102</f>
        <v>13.36</v>
      </c>
      <c r="I126" s="138">
        <f>+F126</f>
        <v>833</v>
      </c>
      <c r="J126" s="138">
        <f>ROUND(H126*I126*12,0)</f>
        <v>133547</v>
      </c>
      <c r="K126" s="138">
        <f>+D126+G126+J126</f>
        <v>638545</v>
      </c>
      <c r="M126" s="165">
        <f>+I126</f>
        <v>833</v>
      </c>
      <c r="N126" s="165">
        <v>360</v>
      </c>
      <c r="O126" s="165">
        <f>M126*N126</f>
        <v>299880</v>
      </c>
      <c r="P126" s="166">
        <f>O126*12</f>
        <v>3598560</v>
      </c>
      <c r="Q126" s="105"/>
      <c r="R126" s="108">
        <v>35.75</v>
      </c>
      <c r="S126" s="166">
        <f>+M126</f>
        <v>833</v>
      </c>
      <c r="T126" s="138">
        <f>R126*S126*12</f>
        <v>357357</v>
      </c>
      <c r="U126" s="165">
        <f>+T126-D126</f>
        <v>-110156</v>
      </c>
    </row>
    <row r="127" spans="1:21">
      <c r="A127" s="156" t="s">
        <v>595</v>
      </c>
      <c r="B127" s="157">
        <f>+'2005 Stlgt Rates'!F103</f>
        <v>9.93</v>
      </c>
      <c r="C127" s="158">
        <f>+'Schedule 1'!C67</f>
        <v>64</v>
      </c>
      <c r="D127" s="138">
        <f>ROUND(B127*C127*12,0)</f>
        <v>7626</v>
      </c>
      <c r="E127" s="157">
        <f>+'2005 Stlgt Rates'!G103</f>
        <v>2.54</v>
      </c>
      <c r="F127" s="158">
        <f>+C127</f>
        <v>64</v>
      </c>
      <c r="G127" s="138">
        <f>ROUND(E127*F127*12,0)</f>
        <v>1951</v>
      </c>
      <c r="H127" s="157">
        <f>+'2005 Stlgt Rates'!H103</f>
        <v>9.11</v>
      </c>
      <c r="I127" s="158">
        <f>+F127</f>
        <v>64</v>
      </c>
      <c r="J127" s="138">
        <f>ROUND(H127*I127*12,0)</f>
        <v>6996</v>
      </c>
      <c r="K127" s="138">
        <f>+D127+G127+J127</f>
        <v>16573</v>
      </c>
      <c r="M127" s="145">
        <f>+I127</f>
        <v>64</v>
      </c>
      <c r="N127" s="145">
        <v>100</v>
      </c>
      <c r="O127" s="145">
        <f>M127*N127</f>
        <v>6400</v>
      </c>
      <c r="P127" s="146">
        <f>O127*12</f>
        <v>76800</v>
      </c>
      <c r="Q127" s="105"/>
      <c r="R127" s="97">
        <v>9.93</v>
      </c>
      <c r="S127" s="146">
        <f>+M127</f>
        <v>64</v>
      </c>
      <c r="T127" s="153">
        <f>R127*S127*12</f>
        <v>7626.24</v>
      </c>
      <c r="U127" s="145">
        <f>+T127-D127</f>
        <v>0.23999999999978172</v>
      </c>
    </row>
    <row r="128" spans="1:21">
      <c r="A128" s="126"/>
      <c r="B128" s="141"/>
      <c r="C128" s="138"/>
      <c r="D128" s="138"/>
      <c r="E128" s="141"/>
      <c r="F128" s="138"/>
      <c r="G128" s="138"/>
      <c r="H128" s="141"/>
      <c r="I128" s="138"/>
      <c r="J128" s="138"/>
      <c r="K128" s="138"/>
      <c r="M128" s="165"/>
      <c r="N128" s="165"/>
      <c r="O128" s="105"/>
      <c r="P128" s="105"/>
      <c r="Q128" s="105"/>
      <c r="R128" s="108"/>
      <c r="S128" s="105"/>
      <c r="T128" s="105"/>
      <c r="U128" s="165"/>
    </row>
    <row r="129" spans="1:21">
      <c r="A129" s="142" t="s">
        <v>614</v>
      </c>
      <c r="B129" s="143">
        <f>+'2005 Stlgt Rates'!F166</f>
        <v>6.64</v>
      </c>
      <c r="C129" s="153">
        <f>+'Schedule 1'!D68</f>
        <v>1</v>
      </c>
      <c r="D129" s="153">
        <f>ROUND(B129*C129*12,0)</f>
        <v>80</v>
      </c>
      <c r="E129" s="143">
        <f>+'2005 Stlgt Rates'!G166</f>
        <v>2.54</v>
      </c>
      <c r="F129" s="153">
        <f>+C129</f>
        <v>1</v>
      </c>
      <c r="G129" s="153">
        <f>ROUND(E129*F129*12,0)</f>
        <v>30</v>
      </c>
      <c r="H129" s="143">
        <f>+'2005 Stlgt Rates'!H166</f>
        <v>9.1</v>
      </c>
      <c r="I129" s="153">
        <f>+F129</f>
        <v>1</v>
      </c>
      <c r="J129" s="153">
        <f>ROUND(H129*I129*12,0)</f>
        <v>109</v>
      </c>
      <c r="K129" s="153">
        <f>+D129+G129+J129</f>
        <v>219</v>
      </c>
      <c r="M129" s="145">
        <f>+I129</f>
        <v>1</v>
      </c>
      <c r="N129" s="145">
        <v>67</v>
      </c>
      <c r="O129" s="145">
        <f>M129*N129</f>
        <v>67</v>
      </c>
      <c r="P129" s="146">
        <f>O129*12</f>
        <v>804</v>
      </c>
      <c r="Q129" s="105"/>
      <c r="R129" s="97">
        <v>6.64</v>
      </c>
      <c r="S129" s="146">
        <f>+M129</f>
        <v>1</v>
      </c>
      <c r="T129" s="153">
        <f>R129*S129*12</f>
        <v>79.679999999999993</v>
      </c>
      <c r="U129" s="145">
        <f>+T129-D129</f>
        <v>-0.32000000000000739</v>
      </c>
    </row>
    <row r="130" spans="1:21">
      <c r="A130" s="126"/>
      <c r="B130" s="141"/>
      <c r="C130" s="138"/>
      <c r="D130" s="138"/>
      <c r="E130" s="141"/>
      <c r="F130" s="138"/>
      <c r="G130" s="138"/>
      <c r="H130" s="141"/>
      <c r="I130" s="138"/>
      <c r="J130" s="138"/>
      <c r="K130" s="138"/>
      <c r="M130" s="165"/>
      <c r="N130" s="165"/>
      <c r="O130" s="105"/>
      <c r="P130" s="105"/>
      <c r="Q130" s="105"/>
      <c r="R130" s="108"/>
      <c r="S130" s="105"/>
      <c r="T130" s="105"/>
      <c r="U130" s="165"/>
    </row>
    <row r="131" spans="1:21">
      <c r="A131" s="142" t="s">
        <v>596</v>
      </c>
      <c r="B131" s="143">
        <f>+'2005 Stlgt Rates'!F168</f>
        <v>9.93</v>
      </c>
      <c r="C131" s="153">
        <f>+'Schedule 1'!E67</f>
        <v>66</v>
      </c>
      <c r="D131" s="153">
        <f>ROUND(B131*C131*12,0)</f>
        <v>7865</v>
      </c>
      <c r="E131" s="143">
        <f>+'2005 Stlgt Rates'!G168</f>
        <v>0</v>
      </c>
      <c r="F131" s="153">
        <f>+C131</f>
        <v>66</v>
      </c>
      <c r="G131" s="153">
        <f>ROUND(E131*F131*12,0)</f>
        <v>0</v>
      </c>
      <c r="H131" s="143">
        <f>+'2005 Stlgt Rates'!H168</f>
        <v>0</v>
      </c>
      <c r="I131" s="153">
        <f>+F131</f>
        <v>66</v>
      </c>
      <c r="J131" s="153">
        <f>ROUND(H131*I131*12,0)</f>
        <v>0</v>
      </c>
      <c r="K131" s="153">
        <f>+D131+G131+J131</f>
        <v>7865</v>
      </c>
      <c r="M131" s="145">
        <f>+I131</f>
        <v>66</v>
      </c>
      <c r="N131" s="145">
        <v>100</v>
      </c>
      <c r="O131" s="145">
        <f>M131*N131</f>
        <v>6600</v>
      </c>
      <c r="P131" s="146">
        <f>O131*12</f>
        <v>79200</v>
      </c>
      <c r="Q131" s="105"/>
      <c r="R131" s="97">
        <v>9.93</v>
      </c>
      <c r="S131" s="146">
        <f>+M131</f>
        <v>66</v>
      </c>
      <c r="T131" s="153">
        <f>R131*S131*12</f>
        <v>7864.5599999999995</v>
      </c>
      <c r="U131" s="145">
        <f>+T131-D131</f>
        <v>-0.44000000000050932</v>
      </c>
    </row>
    <row r="132" spans="1:21">
      <c r="A132" s="142" t="s">
        <v>597</v>
      </c>
      <c r="B132" s="143">
        <f>+'2005 Stlgt Rates'!F169</f>
        <v>14.89</v>
      </c>
      <c r="C132" s="153">
        <f>+'Schedule 1'!E65</f>
        <v>153</v>
      </c>
      <c r="D132" s="153">
        <f>ROUND(B132*C132*12,0)</f>
        <v>27338</v>
      </c>
      <c r="E132" s="143">
        <f>+'2005 Stlgt Rates'!G169</f>
        <v>0</v>
      </c>
      <c r="F132" s="153">
        <f>+C132</f>
        <v>153</v>
      </c>
      <c r="G132" s="153">
        <f>ROUND(E132*F132*12,0)</f>
        <v>0</v>
      </c>
      <c r="H132" s="143">
        <f>+'2005 Stlgt Rates'!H169</f>
        <v>0</v>
      </c>
      <c r="I132" s="153">
        <f>+F132</f>
        <v>153</v>
      </c>
      <c r="J132" s="153">
        <f>ROUND(H132*I132*12,0)</f>
        <v>0</v>
      </c>
      <c r="K132" s="153">
        <f>+D132+G132+J132</f>
        <v>27338</v>
      </c>
      <c r="M132" s="145">
        <f>+I132</f>
        <v>153</v>
      </c>
      <c r="N132" s="145">
        <v>150</v>
      </c>
      <c r="O132" s="145">
        <f>M132*N132</f>
        <v>22950</v>
      </c>
      <c r="P132" s="146">
        <f>O132*12</f>
        <v>275400</v>
      </c>
      <c r="Q132" s="105"/>
      <c r="R132" s="97">
        <v>14.89</v>
      </c>
      <c r="S132" s="146">
        <f>+M132</f>
        <v>153</v>
      </c>
      <c r="T132" s="153">
        <f>R132*S132*12</f>
        <v>27338.04</v>
      </c>
      <c r="U132" s="145">
        <f>+T132-D132</f>
        <v>4.0000000000873115E-2</v>
      </c>
    </row>
    <row r="133" spans="1:21">
      <c r="A133" s="142" t="s">
        <v>598</v>
      </c>
      <c r="B133" s="143">
        <f>+'2005 Stlgt Rates'!F170</f>
        <v>35.75</v>
      </c>
      <c r="C133" s="153">
        <f>+'Schedule 1'!E66</f>
        <v>11</v>
      </c>
      <c r="D133" s="153">
        <f>ROUND(B133*C133*12,0)</f>
        <v>4719</v>
      </c>
      <c r="E133" s="143">
        <f>+'2005 Stlgt Rates'!G170</f>
        <v>0</v>
      </c>
      <c r="F133" s="153">
        <f>+C133</f>
        <v>11</v>
      </c>
      <c r="G133" s="153">
        <f>ROUND(E133*F133*12,0)</f>
        <v>0</v>
      </c>
      <c r="H133" s="143">
        <f>+'2005 Stlgt Rates'!H170</f>
        <v>0</v>
      </c>
      <c r="I133" s="153">
        <f>+F133</f>
        <v>11</v>
      </c>
      <c r="J133" s="153">
        <f>ROUND(H133*I133*12,0)</f>
        <v>0</v>
      </c>
      <c r="K133" s="153">
        <f>+D133+G133+J133</f>
        <v>4719</v>
      </c>
      <c r="M133" s="145">
        <f>+I133</f>
        <v>11</v>
      </c>
      <c r="N133" s="145">
        <v>360</v>
      </c>
      <c r="O133" s="145">
        <f>M133*N133</f>
        <v>3960</v>
      </c>
      <c r="P133" s="146">
        <f>O133*12</f>
        <v>47520</v>
      </c>
      <c r="Q133" s="105"/>
      <c r="R133" s="97">
        <v>35.75</v>
      </c>
      <c r="S133" s="146">
        <f>+M133</f>
        <v>11</v>
      </c>
      <c r="T133" s="153">
        <f>R133*S133*12</f>
        <v>4719</v>
      </c>
      <c r="U133" s="145">
        <f>+T133-D133</f>
        <v>0</v>
      </c>
    </row>
    <row r="134" spans="1:21">
      <c r="A134" s="142" t="s">
        <v>599</v>
      </c>
      <c r="B134" s="143">
        <f>+'2005 Stlgt Rates'!F171</f>
        <v>7.45</v>
      </c>
      <c r="C134" s="153">
        <f>+'Schedule 1'!E69</f>
        <v>72</v>
      </c>
      <c r="D134" s="153">
        <f>ROUND(B134*C134*12,0)</f>
        <v>6437</v>
      </c>
      <c r="E134" s="143">
        <f>+'2005 Stlgt Rates'!G171</f>
        <v>0</v>
      </c>
      <c r="F134" s="153">
        <f>+C134</f>
        <v>72</v>
      </c>
      <c r="G134" s="153">
        <f>ROUND(E134*F134*12,0)</f>
        <v>0</v>
      </c>
      <c r="H134" s="143">
        <f>+'2005 Stlgt Rates'!H171</f>
        <v>0</v>
      </c>
      <c r="I134" s="153">
        <f>+F134</f>
        <v>72</v>
      </c>
      <c r="J134" s="153">
        <f>ROUND(H134*I134*12,0)</f>
        <v>0</v>
      </c>
      <c r="K134" s="153">
        <f>+D134+G134+J134</f>
        <v>6437</v>
      </c>
      <c r="M134" s="145">
        <f>+I134</f>
        <v>72</v>
      </c>
      <c r="N134" s="145">
        <v>75</v>
      </c>
      <c r="O134" s="145">
        <f>M134*N134</f>
        <v>5400</v>
      </c>
      <c r="P134" s="146">
        <f>O134*12</f>
        <v>64800</v>
      </c>
      <c r="Q134" s="105"/>
      <c r="R134" s="97">
        <v>7.45</v>
      </c>
      <c r="S134" s="146">
        <f>+M134</f>
        <v>72</v>
      </c>
      <c r="T134" s="153">
        <f>R134*S134*12</f>
        <v>6436.7999999999993</v>
      </c>
      <c r="U134" s="145">
        <f>+T134-D134</f>
        <v>-0.2000000000007276</v>
      </c>
    </row>
    <row r="135" spans="1:21">
      <c r="A135" s="142" t="s">
        <v>689</v>
      </c>
      <c r="B135" s="143">
        <f>+'2005 Stlgt Rates'!F172</f>
        <v>6.64</v>
      </c>
      <c r="C135" s="144">
        <f>+'Schedule 1'!E70</f>
        <v>3</v>
      </c>
      <c r="D135" s="144">
        <f>ROUND(B135*C135*12,0)</f>
        <v>239</v>
      </c>
      <c r="E135" s="143">
        <f>+'2005 Stlgt Rates'!G172</f>
        <v>0</v>
      </c>
      <c r="F135" s="144">
        <f>+C135</f>
        <v>3</v>
      </c>
      <c r="G135" s="144">
        <f>ROUND(E135*F135*12,0)</f>
        <v>0</v>
      </c>
      <c r="H135" s="143">
        <f>+'2005 Stlgt Rates'!H172</f>
        <v>0</v>
      </c>
      <c r="I135" s="144">
        <f>+F135</f>
        <v>3</v>
      </c>
      <c r="J135" s="144">
        <f>ROUND(H135*I135*12,0)</f>
        <v>0</v>
      </c>
      <c r="K135" s="144">
        <f>+D135+G135+J135</f>
        <v>239</v>
      </c>
      <c r="M135" s="145">
        <f>+I135</f>
        <v>3</v>
      </c>
      <c r="N135" s="145">
        <v>67</v>
      </c>
      <c r="O135" s="145">
        <f>M135*N135</f>
        <v>201</v>
      </c>
      <c r="P135" s="146">
        <f>O135*12</f>
        <v>2412</v>
      </c>
      <c r="Q135" s="105"/>
      <c r="R135" s="97">
        <v>6.64</v>
      </c>
      <c r="S135" s="146">
        <f>+M135</f>
        <v>3</v>
      </c>
      <c r="T135" s="153">
        <f>R135*S135*12</f>
        <v>239.03999999999996</v>
      </c>
      <c r="U135" s="145">
        <f>+T135-D135</f>
        <v>3.999999999996362E-2</v>
      </c>
    </row>
    <row r="136" spans="1:21">
      <c r="A136" s="126"/>
      <c r="B136" s="141"/>
      <c r="C136" s="138"/>
      <c r="D136" s="138"/>
      <c r="E136" s="141"/>
      <c r="F136" s="138"/>
      <c r="G136" s="138"/>
      <c r="H136" s="141"/>
      <c r="I136" s="138"/>
      <c r="J136" s="138"/>
      <c r="K136" s="138"/>
      <c r="M136" s="165"/>
      <c r="N136" s="165"/>
      <c r="O136" s="105"/>
      <c r="P136" s="105"/>
      <c r="Q136" s="105"/>
      <c r="R136" s="108"/>
      <c r="S136" s="105"/>
      <c r="T136" s="105"/>
      <c r="U136" s="105"/>
    </row>
    <row r="137" spans="1:21">
      <c r="A137" s="154" t="s">
        <v>33</v>
      </c>
      <c r="B137" s="141"/>
      <c r="C137" s="161">
        <f>SUM(C125:C136)</f>
        <v>2418</v>
      </c>
      <c r="D137" s="161">
        <f>SUM(D125:D136)</f>
        <v>806127</v>
      </c>
      <c r="E137" s="141"/>
      <c r="F137" s="161">
        <f>SUM(F125:F136)</f>
        <v>2418</v>
      </c>
      <c r="G137" s="161">
        <f>SUM(G125:G136)</f>
        <v>76499</v>
      </c>
      <c r="H137" s="141"/>
      <c r="I137" s="161">
        <f>SUM(I125:I136)</f>
        <v>2418</v>
      </c>
      <c r="J137" s="161">
        <f>SUM(J125:J136)</f>
        <v>273184</v>
      </c>
      <c r="K137" s="161">
        <f>SUM(K125:K136)</f>
        <v>1155810</v>
      </c>
      <c r="M137" s="165">
        <f>SUM(M125:M136)</f>
        <v>2418</v>
      </c>
      <c r="N137" s="165"/>
      <c r="O137" s="165">
        <f>SUM(O125:O136)</f>
        <v>527708</v>
      </c>
      <c r="P137" s="165">
        <f>SUM(P125:P136)</f>
        <v>6332496</v>
      </c>
      <c r="Q137" s="105"/>
      <c r="R137" s="108"/>
      <c r="S137" s="162">
        <f>SUM(S125:S136)</f>
        <v>2418</v>
      </c>
      <c r="T137" s="162">
        <f>SUM(T125:T136)</f>
        <v>628756.56000000017</v>
      </c>
      <c r="U137" s="152">
        <f>SUM(U125:U136)</f>
        <v>-177370.44</v>
      </c>
    </row>
    <row r="138" spans="1:21">
      <c r="A138" s="205"/>
      <c r="B138" s="206"/>
      <c r="C138" s="207"/>
      <c r="D138" s="208"/>
      <c r="E138" s="206"/>
      <c r="F138" s="207"/>
      <c r="G138" s="208"/>
      <c r="H138" s="206"/>
      <c r="I138" s="207"/>
      <c r="J138" s="208"/>
      <c r="K138" s="208"/>
      <c r="M138" s="217"/>
      <c r="N138" s="165"/>
      <c r="O138" s="105"/>
      <c r="P138" s="105"/>
      <c r="Q138" s="105"/>
      <c r="R138" s="108"/>
      <c r="S138" s="105"/>
      <c r="T138" s="105"/>
      <c r="U138" s="165"/>
    </row>
    <row r="139" spans="1:21">
      <c r="A139" s="211" t="s">
        <v>600</v>
      </c>
      <c r="B139" s="212"/>
      <c r="C139" s="213">
        <f>+C19+C47+C68+C86+C98+C121+C137</f>
        <v>134287</v>
      </c>
      <c r="D139" s="214">
        <f>+D19+D47+D68+D86+D98+D121+D137</f>
        <v>11153705</v>
      </c>
      <c r="E139" s="212"/>
      <c r="F139" s="213">
        <f>+F19+F47+F68+F86+F98+F121+F137</f>
        <v>134287</v>
      </c>
      <c r="G139" s="214">
        <f>+G19+G47+G68+G86+G98+G121+G137</f>
        <v>1433695</v>
      </c>
      <c r="H139" s="212"/>
      <c r="I139" s="213">
        <f>+I19+I47+I68+I86+I98+I121+I137</f>
        <v>134287</v>
      </c>
      <c r="J139" s="214">
        <f>+J19+J47+J68+J86+J98+J121+J137</f>
        <v>7112651</v>
      </c>
      <c r="K139" s="214">
        <f>+K19+K47+K68+K86+K98+K121+K137</f>
        <v>19700051</v>
      </c>
      <c r="L139" s="216"/>
      <c r="M139" s="219">
        <f>+M19+M47+M68+M86+M98+M121+M137</f>
        <v>134287</v>
      </c>
      <c r="N139" s="217"/>
      <c r="O139" s="219">
        <f>+O19+O47+O68+O86+O98+O121+O137</f>
        <v>7311567</v>
      </c>
      <c r="P139" s="219">
        <f>+P19+P47+P68+P86+P98+P121+P137</f>
        <v>87738804</v>
      </c>
      <c r="Q139" s="105"/>
      <c r="R139" s="105"/>
      <c r="S139" s="221">
        <f>+S19+S47+S68+S86+S98+S121+S137</f>
        <v>134287</v>
      </c>
      <c r="T139" s="222">
        <f>+T19+T47+T68+T86+T98+T121+T137</f>
        <v>8667436.9200000018</v>
      </c>
      <c r="U139" s="222">
        <f>+U19+U47+U68+U86+U98+U121+U137</f>
        <v>-2440005.08</v>
      </c>
    </row>
    <row r="140" spans="1:21">
      <c r="A140" s="209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M140" s="218"/>
      <c r="N140" s="140"/>
    </row>
  </sheetData>
  <phoneticPr fontId="20" type="noConversion"/>
  <printOptions horizontalCentered="1"/>
  <pageMargins left="0.5" right="0.5" top="0.75" bottom="0.75" header="0.5" footer="0.5"/>
  <pageSetup scale="75" fitToHeight="4" orientation="landscape" verticalDpi="1200" r:id="rId1"/>
  <headerFooter alignWithMargins="0"/>
  <rowBreaks count="4" manualBreakCount="4">
    <brk id="39" max="10" man="1"/>
    <brk id="69" max="10" man="1"/>
    <brk id="99" max="10" man="1"/>
    <brk id="122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87" zoomScaleNormal="87" workbookViewId="0"/>
  </sheetViews>
  <sheetFormatPr defaultRowHeight="15"/>
  <cols>
    <col min="1" max="1" width="26" customWidth="1"/>
    <col min="2" max="3" width="8.33203125" customWidth="1"/>
    <col min="4" max="4" width="9.88671875" customWidth="1"/>
    <col min="5" max="6" width="8.33203125" customWidth="1"/>
    <col min="7" max="7" width="9.88671875" customWidth="1"/>
    <col min="8" max="9" width="8.33203125" customWidth="1"/>
    <col min="10" max="11" width="9.88671875" customWidth="1"/>
    <col min="12" max="12" width="2.44140625" customWidth="1"/>
    <col min="13" max="16" width="12.21875" customWidth="1"/>
    <col min="17" max="17" width="3" customWidth="1"/>
    <col min="18" max="21" width="9.88671875" customWidth="1"/>
  </cols>
  <sheetData>
    <row r="1" spans="1:21" ht="18">
      <c r="A1" s="120" t="s">
        <v>693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M1" s="226" t="s">
        <v>693</v>
      </c>
      <c r="N1" s="124"/>
      <c r="O1" s="124"/>
      <c r="P1" s="124"/>
      <c r="Q1" s="124"/>
      <c r="R1" s="124"/>
      <c r="S1" s="124"/>
      <c r="T1" s="124"/>
      <c r="U1" s="124"/>
    </row>
    <row r="2" spans="1:21" ht="18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227"/>
    </row>
    <row r="3" spans="1:21" ht="15.75">
      <c r="A3" s="122" t="s">
        <v>504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M3" s="228" t="s">
        <v>504</v>
      </c>
      <c r="N3" s="124"/>
      <c r="O3" s="124"/>
      <c r="P3" s="124"/>
      <c r="Q3" s="124"/>
      <c r="R3" s="124"/>
      <c r="S3" s="124"/>
      <c r="T3" s="124"/>
      <c r="U3" s="124"/>
    </row>
    <row r="4" spans="1:21" ht="15.75" customHeight="1">
      <c r="A4" s="123" t="s">
        <v>505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M4" s="229" t="s">
        <v>701</v>
      </c>
      <c r="N4" s="124"/>
      <c r="O4" s="124"/>
      <c r="P4" s="124"/>
      <c r="Q4" s="124"/>
      <c r="R4" s="124"/>
      <c r="S4" s="124"/>
      <c r="T4" s="124"/>
      <c r="U4" s="124"/>
    </row>
    <row r="5" spans="1:21" ht="15.75">
      <c r="A5" s="123" t="s">
        <v>507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21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2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2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21">
      <c r="A9" s="126"/>
      <c r="B9" s="127" t="s">
        <v>508</v>
      </c>
      <c r="C9" s="128"/>
      <c r="D9" s="129"/>
      <c r="E9" s="127" t="s">
        <v>509</v>
      </c>
      <c r="F9" s="128"/>
      <c r="G9" s="129"/>
      <c r="H9" s="127" t="s">
        <v>510</v>
      </c>
      <c r="I9" s="128"/>
      <c r="J9" s="130"/>
      <c r="K9" s="131" t="s">
        <v>33</v>
      </c>
      <c r="O9" s="132" t="s">
        <v>511</v>
      </c>
      <c r="P9" s="132" t="s">
        <v>695</v>
      </c>
      <c r="R9" s="127" t="s">
        <v>512</v>
      </c>
      <c r="S9" s="128"/>
      <c r="T9" s="130"/>
    </row>
    <row r="10" spans="1:21">
      <c r="A10" s="126"/>
      <c r="B10" s="131" t="s">
        <v>513</v>
      </c>
      <c r="C10" s="131" t="s">
        <v>514</v>
      </c>
      <c r="D10" s="131" t="s">
        <v>515</v>
      </c>
      <c r="E10" s="131" t="s">
        <v>513</v>
      </c>
      <c r="F10" s="131" t="s">
        <v>514</v>
      </c>
      <c r="G10" s="131" t="s">
        <v>515</v>
      </c>
      <c r="H10" s="131" t="s">
        <v>513</v>
      </c>
      <c r="I10" s="131" t="s">
        <v>514</v>
      </c>
      <c r="J10" s="131" t="s">
        <v>515</v>
      </c>
      <c r="K10" s="131" t="s">
        <v>515</v>
      </c>
      <c r="M10" s="131" t="s">
        <v>514</v>
      </c>
      <c r="N10" s="133" t="s">
        <v>516</v>
      </c>
      <c r="O10" s="134" t="s">
        <v>517</v>
      </c>
      <c r="P10" s="134" t="s">
        <v>517</v>
      </c>
      <c r="R10" s="131" t="s">
        <v>513</v>
      </c>
      <c r="S10" s="131" t="s">
        <v>514</v>
      </c>
      <c r="T10" s="131" t="s">
        <v>515</v>
      </c>
      <c r="U10" s="131" t="s">
        <v>518</v>
      </c>
    </row>
    <row r="11" spans="1:2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>
      <c r="A12" s="135" t="s">
        <v>519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M12" s="105"/>
      <c r="N12" s="105"/>
      <c r="O12" s="105"/>
      <c r="P12" s="105"/>
      <c r="Q12" s="105"/>
      <c r="R12" s="105"/>
      <c r="S12" s="105"/>
      <c r="T12" s="105"/>
      <c r="U12" s="105"/>
    </row>
    <row r="13" spans="1:2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M13" s="105"/>
      <c r="N13" s="105"/>
      <c r="O13" s="105"/>
      <c r="P13" s="105"/>
      <c r="Q13" s="105"/>
      <c r="R13" s="105"/>
      <c r="S13" s="105"/>
      <c r="T13" s="105"/>
      <c r="U13" s="105"/>
    </row>
    <row r="14" spans="1:21">
      <c r="A14" s="136" t="s">
        <v>520</v>
      </c>
      <c r="B14" s="137">
        <f>+'2006 Stlgt Rates'!F14</f>
        <v>13.69</v>
      </c>
      <c r="C14" s="138">
        <f>+'Schedule 1'!C9</f>
        <v>31</v>
      </c>
      <c r="D14" s="139">
        <f>ROUND(B14*C14*12,0)</f>
        <v>5093</v>
      </c>
      <c r="E14" s="137">
        <f>+'2006 Stlgt Rates'!G14</f>
        <v>1.1599999999999999</v>
      </c>
      <c r="F14" s="138">
        <f>+C14</f>
        <v>31</v>
      </c>
      <c r="G14" s="139">
        <f>ROUND(E14*F14*12,0)</f>
        <v>432</v>
      </c>
      <c r="H14" s="137">
        <f>+'2006 Stlgt Rates'!H14</f>
        <v>3.8100000000000005</v>
      </c>
      <c r="I14" s="138">
        <f>+F14</f>
        <v>31</v>
      </c>
      <c r="J14" s="139">
        <f>ROUND(H14*I14*12,0)</f>
        <v>1417</v>
      </c>
      <c r="K14" s="139">
        <f>+D14+G14+J14</f>
        <v>6942</v>
      </c>
      <c r="M14" s="165">
        <f>+I14</f>
        <v>31</v>
      </c>
      <c r="N14" s="165">
        <v>97</v>
      </c>
      <c r="O14" s="165">
        <f>M14*N14</f>
        <v>3007</v>
      </c>
      <c r="P14" s="166">
        <f>O14*12</f>
        <v>36084</v>
      </c>
      <c r="Q14" s="105"/>
      <c r="R14" s="107">
        <f>+'Schedule 9'!D14</f>
        <v>10.46</v>
      </c>
      <c r="S14" s="166">
        <f>+M14</f>
        <v>31</v>
      </c>
      <c r="T14" s="139">
        <f>R14*S14*12</f>
        <v>3891.1200000000008</v>
      </c>
      <c r="U14" s="167">
        <f>T14-D14</f>
        <v>-1201.8799999999992</v>
      </c>
    </row>
    <row r="15" spans="1:21">
      <c r="A15" s="136" t="s">
        <v>521</v>
      </c>
      <c r="B15" s="141">
        <f>+'2006 Stlgt Rates'!F15</f>
        <v>21.73</v>
      </c>
      <c r="C15" s="138">
        <f>+'Schedule 1'!C10</f>
        <v>3</v>
      </c>
      <c r="D15" s="138">
        <f>ROUND(B15*C15*12,0)</f>
        <v>782</v>
      </c>
      <c r="E15" s="141">
        <f>+'2006 Stlgt Rates'!G15</f>
        <v>1.1599999999999999</v>
      </c>
      <c r="F15" s="138">
        <f>+C15</f>
        <v>3</v>
      </c>
      <c r="G15" s="138">
        <f>ROUND(E15*F15*12,0)</f>
        <v>42</v>
      </c>
      <c r="H15" s="141">
        <f>+'2006 Stlgt Rates'!H15</f>
        <v>4.1699999999999982</v>
      </c>
      <c r="I15" s="138">
        <f>+F15</f>
        <v>3</v>
      </c>
      <c r="J15" s="138">
        <f>ROUND(H15*I15*12,0)</f>
        <v>150</v>
      </c>
      <c r="K15" s="138">
        <f>+D15+G15+J15</f>
        <v>974</v>
      </c>
      <c r="M15" s="165">
        <f>+I15</f>
        <v>3</v>
      </c>
      <c r="N15" s="165">
        <v>154</v>
      </c>
      <c r="O15" s="165">
        <f>M15*N15</f>
        <v>462</v>
      </c>
      <c r="P15" s="166">
        <f>O15*12</f>
        <v>5544</v>
      </c>
      <c r="Q15" s="105"/>
      <c r="R15" s="108">
        <f>+'Schedule 9'!D15</f>
        <v>16.61</v>
      </c>
      <c r="S15" s="166">
        <f>+M15</f>
        <v>3</v>
      </c>
      <c r="T15" s="138">
        <f>R15*S15*12</f>
        <v>597.96</v>
      </c>
      <c r="U15" s="165">
        <f>T15-D15</f>
        <v>-184.03999999999996</v>
      </c>
    </row>
    <row r="16" spans="1:21">
      <c r="A16" s="126"/>
      <c r="B16" s="141"/>
      <c r="C16" s="138"/>
      <c r="D16" s="138"/>
      <c r="E16" s="141"/>
      <c r="F16" s="138"/>
      <c r="G16" s="138"/>
      <c r="H16" s="141"/>
      <c r="I16" s="138"/>
      <c r="J16" s="138"/>
      <c r="K16" s="138"/>
      <c r="M16" s="165"/>
      <c r="N16" s="165"/>
      <c r="O16" s="105"/>
      <c r="P16" s="105"/>
      <c r="Q16" s="105"/>
      <c r="R16" s="105"/>
      <c r="S16" s="105"/>
      <c r="T16" s="105"/>
      <c r="U16" s="165"/>
    </row>
    <row r="17" spans="1:21">
      <c r="A17" s="142" t="s">
        <v>522</v>
      </c>
      <c r="B17" s="143">
        <f>+'2006 Stlgt Rates'!F119</f>
        <v>13.688639999999999</v>
      </c>
      <c r="C17" s="144">
        <f>+'Schedule 1'!E9</f>
        <v>7</v>
      </c>
      <c r="D17" s="144">
        <f>ROUND(B17*C17*12,0)</f>
        <v>1150</v>
      </c>
      <c r="E17" s="143">
        <f>+'2006 Stlgt Rates'!G119</f>
        <v>0</v>
      </c>
      <c r="F17" s="144">
        <f>+C17</f>
        <v>7</v>
      </c>
      <c r="G17" s="144">
        <f>ROUND(E17*F17*12,0)</f>
        <v>0</v>
      </c>
      <c r="H17" s="143">
        <f>+'2006 Stlgt Rates'!H119</f>
        <v>0</v>
      </c>
      <c r="I17" s="144">
        <f>+F17</f>
        <v>7</v>
      </c>
      <c r="J17" s="144">
        <f>ROUND(H17*I17*12,0)</f>
        <v>0</v>
      </c>
      <c r="K17" s="144">
        <f>+D17+G17+J17</f>
        <v>1150</v>
      </c>
      <c r="M17" s="145">
        <v>7</v>
      </c>
      <c r="N17" s="145">
        <v>97</v>
      </c>
      <c r="O17" s="145">
        <f>M17*N17</f>
        <v>679</v>
      </c>
      <c r="P17" s="146">
        <f>O17*12</f>
        <v>8148</v>
      </c>
      <c r="Q17" s="105"/>
      <c r="R17" s="97">
        <f>+'Schedule 9'!D17</f>
        <v>10.46</v>
      </c>
      <c r="S17" s="147">
        <f>+M17</f>
        <v>7</v>
      </c>
      <c r="T17" s="144">
        <f>R17*S17*12</f>
        <v>878.64</v>
      </c>
      <c r="U17" s="148">
        <f>T17-D17</f>
        <v>-271.36</v>
      </c>
    </row>
    <row r="18" spans="1:21">
      <c r="A18" s="126"/>
      <c r="B18" s="141"/>
      <c r="C18" s="138"/>
      <c r="D18" s="138"/>
      <c r="E18" s="141"/>
      <c r="F18" s="138"/>
      <c r="G18" s="138"/>
      <c r="H18" s="141"/>
      <c r="I18" s="138"/>
      <c r="J18" s="138"/>
      <c r="K18" s="138"/>
      <c r="M18" s="165"/>
      <c r="N18" s="165"/>
      <c r="O18" s="105"/>
      <c r="P18" s="105"/>
      <c r="Q18" s="105"/>
      <c r="R18" s="105"/>
      <c r="S18" s="105"/>
      <c r="T18" s="105"/>
      <c r="U18" s="165"/>
    </row>
    <row r="19" spans="1:21">
      <c r="A19" s="149" t="s">
        <v>33</v>
      </c>
      <c r="B19" s="141"/>
      <c r="C19" s="150">
        <f>+C14+C15+C17</f>
        <v>41</v>
      </c>
      <c r="D19" s="151">
        <f>+D14+D15+D17</f>
        <v>7025</v>
      </c>
      <c r="E19" s="141"/>
      <c r="F19" s="151">
        <f>+F14+F15+F17</f>
        <v>41</v>
      </c>
      <c r="G19" s="151">
        <f>+G14+G15+G17</f>
        <v>474</v>
      </c>
      <c r="H19" s="141"/>
      <c r="I19" s="151">
        <f>+I14+I15+I17</f>
        <v>41</v>
      </c>
      <c r="J19" s="151">
        <f>+J14+J15+J17</f>
        <v>1567</v>
      </c>
      <c r="K19" s="151">
        <f>+K14+K15+K17</f>
        <v>9066</v>
      </c>
      <c r="M19" s="165">
        <f>SUM(M14:M18)</f>
        <v>41</v>
      </c>
      <c r="N19" s="165"/>
      <c r="O19" s="165">
        <f>SUM(O14:O18)</f>
        <v>4148</v>
      </c>
      <c r="P19" s="165">
        <f>SUM(P14:P18)</f>
        <v>49776</v>
      </c>
      <c r="Q19" s="105"/>
      <c r="R19" s="151"/>
      <c r="S19" s="151">
        <f>SUM(S14:S18)</f>
        <v>41</v>
      </c>
      <c r="T19" s="151">
        <f>SUM(T14:T18)</f>
        <v>5367.7200000000012</v>
      </c>
      <c r="U19" s="220">
        <f>SUM(U14:U18)</f>
        <v>-1657.2799999999993</v>
      </c>
    </row>
    <row r="20" spans="1:21">
      <c r="A20" s="126"/>
      <c r="B20" s="141"/>
      <c r="C20" s="138"/>
      <c r="D20" s="138"/>
      <c r="E20" s="141"/>
      <c r="F20" s="138"/>
      <c r="G20" s="138"/>
      <c r="H20" s="141"/>
      <c r="I20" s="138"/>
      <c r="J20" s="138"/>
      <c r="K20" s="138"/>
      <c r="M20" s="165"/>
      <c r="N20" s="165"/>
      <c r="O20" s="105"/>
      <c r="P20" s="105"/>
      <c r="Q20" s="105"/>
      <c r="R20" s="105"/>
      <c r="S20" s="105"/>
      <c r="T20" s="105"/>
      <c r="U20" s="165"/>
    </row>
    <row r="21" spans="1:21">
      <c r="A21" s="126"/>
      <c r="B21" s="141"/>
      <c r="C21" s="138"/>
      <c r="D21" s="138"/>
      <c r="E21" s="141"/>
      <c r="F21" s="138"/>
      <c r="G21" s="138"/>
      <c r="H21" s="141"/>
      <c r="I21" s="138"/>
      <c r="J21" s="138"/>
      <c r="K21" s="138"/>
      <c r="M21" s="165"/>
      <c r="N21" s="165"/>
      <c r="O21" s="105"/>
      <c r="P21" s="105"/>
      <c r="Q21" s="105"/>
      <c r="R21" s="105"/>
      <c r="S21" s="105"/>
      <c r="T21" s="105"/>
      <c r="U21" s="165"/>
    </row>
    <row r="22" spans="1:21">
      <c r="A22" s="135" t="s">
        <v>523</v>
      </c>
      <c r="B22" s="141"/>
      <c r="C22" s="138"/>
      <c r="D22" s="138"/>
      <c r="E22" s="141"/>
      <c r="F22" s="138"/>
      <c r="G22" s="138"/>
      <c r="H22" s="141"/>
      <c r="I22" s="138"/>
      <c r="J22" s="138"/>
      <c r="K22" s="138"/>
      <c r="M22" s="165"/>
      <c r="N22" s="165"/>
      <c r="O22" s="105"/>
      <c r="P22" s="105"/>
      <c r="Q22" s="105"/>
      <c r="R22" s="105"/>
      <c r="S22" s="105"/>
      <c r="T22" s="105"/>
      <c r="U22" s="165"/>
    </row>
    <row r="23" spans="1:21">
      <c r="A23" s="126"/>
      <c r="B23" s="141"/>
      <c r="C23" s="138"/>
      <c r="D23" s="138"/>
      <c r="E23" s="141"/>
      <c r="F23" s="138"/>
      <c r="G23" s="138"/>
      <c r="H23" s="141"/>
      <c r="I23" s="138"/>
      <c r="J23" s="138"/>
      <c r="K23" s="138"/>
      <c r="M23" s="165"/>
      <c r="N23" s="165"/>
      <c r="O23" s="105"/>
      <c r="P23" s="105"/>
      <c r="Q23" s="105"/>
      <c r="R23" s="105"/>
      <c r="S23" s="105"/>
      <c r="T23" s="105"/>
      <c r="U23" s="165"/>
    </row>
    <row r="24" spans="1:21">
      <c r="A24" s="136" t="s">
        <v>524</v>
      </c>
      <c r="B24" s="141">
        <f>+'2006 Stlgt Rates'!F19</f>
        <v>6.08</v>
      </c>
      <c r="C24" s="138">
        <f>+'Schedule 1'!C13</f>
        <v>269</v>
      </c>
      <c r="D24" s="138">
        <f t="shared" ref="D24:D31" si="0">ROUND(B24*C24*12,0)</f>
        <v>19626</v>
      </c>
      <c r="E24" s="141">
        <f>+'2006 Stlgt Rates'!G19</f>
        <v>1.1599999999999999</v>
      </c>
      <c r="F24" s="138">
        <f t="shared" ref="F24:F31" si="1">+C24</f>
        <v>269</v>
      </c>
      <c r="G24" s="138">
        <f t="shared" ref="G24:G31" si="2">ROUND(E24*F24*12,0)</f>
        <v>3744</v>
      </c>
      <c r="H24" s="141">
        <f>+'2006 Stlgt Rates'!H19</f>
        <v>3.41</v>
      </c>
      <c r="I24" s="138">
        <f t="shared" ref="I24:I31" si="3">+F24</f>
        <v>269</v>
      </c>
      <c r="J24" s="138">
        <f t="shared" ref="J24:J31" si="4">ROUND(H24*I24*12,0)</f>
        <v>11007</v>
      </c>
      <c r="K24" s="138">
        <f t="shared" ref="K24:K31" si="5">+D24+G24+J24</f>
        <v>34377</v>
      </c>
      <c r="M24" s="165">
        <f t="shared" ref="M24:M38" si="6">+I24</f>
        <v>269</v>
      </c>
      <c r="N24" s="165">
        <v>43</v>
      </c>
      <c r="O24" s="165">
        <f>M24*N24</f>
        <v>11567</v>
      </c>
      <c r="P24" s="166">
        <f>O24*12</f>
        <v>138804</v>
      </c>
      <c r="Q24" s="105"/>
      <c r="R24" s="108">
        <f>+'Schedule 9'!D21</f>
        <v>4.6399999999999997</v>
      </c>
      <c r="S24" s="166">
        <f t="shared" ref="S24:S31" si="7">+M24</f>
        <v>269</v>
      </c>
      <c r="T24" s="138">
        <f>R24*S24*12</f>
        <v>14977.919999999998</v>
      </c>
      <c r="U24" s="165">
        <f t="shared" ref="U24:U31" si="8">T24-D24</f>
        <v>-4648.0800000000017</v>
      </c>
    </row>
    <row r="25" spans="1:21">
      <c r="A25" s="136" t="s">
        <v>525</v>
      </c>
      <c r="B25" s="141">
        <f>+'2006 Stlgt Rates'!F20</f>
        <v>7.33</v>
      </c>
      <c r="C25" s="138">
        <f>+'Schedule 1'!C14</f>
        <v>11962</v>
      </c>
      <c r="D25" s="138">
        <f t="shared" si="0"/>
        <v>1052178</v>
      </c>
      <c r="E25" s="141">
        <f>+'2006 Stlgt Rates'!G20</f>
        <v>1.54</v>
      </c>
      <c r="F25" s="138">
        <f t="shared" si="1"/>
        <v>11962</v>
      </c>
      <c r="G25" s="138">
        <f t="shared" si="2"/>
        <v>221058</v>
      </c>
      <c r="H25" s="141">
        <f>+'2006 Stlgt Rates'!H20</f>
        <v>3.4400000000000004</v>
      </c>
      <c r="I25" s="138">
        <f t="shared" si="3"/>
        <v>11962</v>
      </c>
      <c r="J25" s="138">
        <f t="shared" si="4"/>
        <v>493791</v>
      </c>
      <c r="K25" s="138">
        <f t="shared" si="5"/>
        <v>1767027</v>
      </c>
      <c r="M25" s="165">
        <f t="shared" si="6"/>
        <v>11962</v>
      </c>
      <c r="N25" s="165">
        <v>52</v>
      </c>
      <c r="O25" s="165">
        <f t="shared" ref="O25:O31" si="9">M25*N25</f>
        <v>622024</v>
      </c>
      <c r="P25" s="166">
        <f t="shared" ref="P25:P38" si="10">O25*12</f>
        <v>7464288</v>
      </c>
      <c r="Q25" s="105"/>
      <c r="R25" s="108">
        <f>+'Schedule 9'!D22</f>
        <v>5.61</v>
      </c>
      <c r="S25" s="166">
        <f t="shared" si="7"/>
        <v>11962</v>
      </c>
      <c r="T25" s="138">
        <f t="shared" ref="T25:T31" si="11">R25*S25*12</f>
        <v>805281.84000000008</v>
      </c>
      <c r="U25" s="165">
        <f t="shared" si="8"/>
        <v>-246896.15999999992</v>
      </c>
    </row>
    <row r="26" spans="1:21">
      <c r="A26" s="136" t="s">
        <v>526</v>
      </c>
      <c r="B26" s="141">
        <f>+'2006 Stlgt Rates'!F22</f>
        <v>9.76</v>
      </c>
      <c r="C26" s="138">
        <f>+'Schedule 1'!C15</f>
        <v>3150</v>
      </c>
      <c r="D26" s="138">
        <f t="shared" si="0"/>
        <v>368928</v>
      </c>
      <c r="E26" s="141">
        <f>+'2006 Stlgt Rates'!G22</f>
        <v>1.1599999999999999</v>
      </c>
      <c r="F26" s="138">
        <f t="shared" si="1"/>
        <v>3150</v>
      </c>
      <c r="G26" s="138">
        <f t="shared" si="2"/>
        <v>43848</v>
      </c>
      <c r="H26" s="141">
        <f>+'2006 Stlgt Rates'!H22</f>
        <v>3.58</v>
      </c>
      <c r="I26" s="138">
        <f t="shared" si="3"/>
        <v>3150</v>
      </c>
      <c r="J26" s="138">
        <f t="shared" si="4"/>
        <v>135324</v>
      </c>
      <c r="K26" s="138">
        <f t="shared" si="5"/>
        <v>548100</v>
      </c>
      <c r="M26" s="165">
        <f t="shared" si="6"/>
        <v>3150</v>
      </c>
      <c r="N26" s="165">
        <v>69</v>
      </c>
      <c r="O26" s="165">
        <f t="shared" si="9"/>
        <v>217350</v>
      </c>
      <c r="P26" s="166">
        <f t="shared" si="10"/>
        <v>2608200</v>
      </c>
      <c r="Q26" s="105"/>
      <c r="R26" s="108">
        <f>+'Schedule 9'!D23</f>
        <v>7.44</v>
      </c>
      <c r="S26" s="166">
        <f t="shared" si="7"/>
        <v>3150</v>
      </c>
      <c r="T26" s="138">
        <f t="shared" si="11"/>
        <v>281232</v>
      </c>
      <c r="U26" s="165">
        <f t="shared" si="8"/>
        <v>-87696</v>
      </c>
    </row>
    <row r="27" spans="1:21">
      <c r="A27" s="136" t="s">
        <v>527</v>
      </c>
      <c r="B27" s="141">
        <f>+'2006 Stlgt Rates'!F24</f>
        <v>13.69</v>
      </c>
      <c r="C27" s="138">
        <f>+'Schedule 1'!C16</f>
        <v>1149</v>
      </c>
      <c r="D27" s="138">
        <f t="shared" si="0"/>
        <v>188758</v>
      </c>
      <c r="E27" s="141">
        <f>+'2006 Stlgt Rates'!G24</f>
        <v>1.1599999999999999</v>
      </c>
      <c r="F27" s="138">
        <f t="shared" si="1"/>
        <v>1149</v>
      </c>
      <c r="G27" s="138">
        <f t="shared" si="2"/>
        <v>15994</v>
      </c>
      <c r="H27" s="141">
        <f>+'2006 Stlgt Rates'!H24</f>
        <v>3.67</v>
      </c>
      <c r="I27" s="138">
        <f t="shared" si="3"/>
        <v>1149</v>
      </c>
      <c r="J27" s="138">
        <f t="shared" si="4"/>
        <v>50602</v>
      </c>
      <c r="K27" s="138">
        <f t="shared" si="5"/>
        <v>255354</v>
      </c>
      <c r="M27" s="165">
        <f t="shared" si="6"/>
        <v>1149</v>
      </c>
      <c r="N27" s="165">
        <v>97</v>
      </c>
      <c r="O27" s="165">
        <f t="shared" si="9"/>
        <v>111453</v>
      </c>
      <c r="P27" s="166">
        <f t="shared" si="10"/>
        <v>1337436</v>
      </c>
      <c r="Q27" s="105"/>
      <c r="R27" s="108">
        <f>+'Schedule 9'!D24</f>
        <v>10.46</v>
      </c>
      <c r="S27" s="166">
        <f t="shared" si="7"/>
        <v>1149</v>
      </c>
      <c r="T27" s="138">
        <f t="shared" si="11"/>
        <v>144222.48000000001</v>
      </c>
      <c r="U27" s="165">
        <f t="shared" si="8"/>
        <v>-44535.51999999999</v>
      </c>
    </row>
    <row r="28" spans="1:21">
      <c r="A28" s="136" t="s">
        <v>528</v>
      </c>
      <c r="B28" s="141">
        <f>+'2006 Stlgt Rates'!F27</f>
        <v>21.73</v>
      </c>
      <c r="C28" s="138">
        <f>+'Schedule 1'!C17</f>
        <v>1484</v>
      </c>
      <c r="D28" s="138">
        <f t="shared" si="0"/>
        <v>386968</v>
      </c>
      <c r="E28" s="141">
        <f>+'2006 Stlgt Rates'!G27</f>
        <v>1.1599999999999999</v>
      </c>
      <c r="F28" s="138">
        <f t="shared" si="1"/>
        <v>1484</v>
      </c>
      <c r="G28" s="138">
        <f t="shared" si="2"/>
        <v>20657</v>
      </c>
      <c r="H28" s="141">
        <f>+'2006 Stlgt Rates'!H27</f>
        <v>4.129999999999999</v>
      </c>
      <c r="I28" s="138">
        <f t="shared" si="3"/>
        <v>1484</v>
      </c>
      <c r="J28" s="138">
        <f t="shared" si="4"/>
        <v>73547</v>
      </c>
      <c r="K28" s="138">
        <f t="shared" si="5"/>
        <v>481172</v>
      </c>
      <c r="M28" s="165">
        <f t="shared" si="6"/>
        <v>1484</v>
      </c>
      <c r="N28" s="165">
        <v>154</v>
      </c>
      <c r="O28" s="165">
        <f t="shared" si="9"/>
        <v>228536</v>
      </c>
      <c r="P28" s="166">
        <f t="shared" si="10"/>
        <v>2742432</v>
      </c>
      <c r="Q28" s="105"/>
      <c r="R28" s="108">
        <f>+'Schedule 9'!D25</f>
        <v>16.61</v>
      </c>
      <c r="S28" s="166">
        <f t="shared" si="7"/>
        <v>1484</v>
      </c>
      <c r="T28" s="138">
        <f t="shared" si="11"/>
        <v>295790.88</v>
      </c>
      <c r="U28" s="165">
        <f t="shared" si="8"/>
        <v>-91177.12</v>
      </c>
    </row>
    <row r="29" spans="1:21">
      <c r="A29" s="136" t="s">
        <v>529</v>
      </c>
      <c r="B29" s="141">
        <f>+'2006 Stlgt Rates'!F29</f>
        <v>36.700000000000003</v>
      </c>
      <c r="C29" s="138">
        <f>+'Schedule 1'!C18</f>
        <v>12</v>
      </c>
      <c r="D29" s="138">
        <f t="shared" si="0"/>
        <v>5285</v>
      </c>
      <c r="E29" s="141">
        <f>+'2006 Stlgt Rates'!G29</f>
        <v>1.1599999999999999</v>
      </c>
      <c r="F29" s="138">
        <f t="shared" si="1"/>
        <v>12</v>
      </c>
      <c r="G29" s="138">
        <f t="shared" si="2"/>
        <v>167</v>
      </c>
      <c r="H29" s="141">
        <f>+'2006 Stlgt Rates'!H29</f>
        <v>12.77</v>
      </c>
      <c r="I29" s="138">
        <f t="shared" si="3"/>
        <v>12</v>
      </c>
      <c r="J29" s="138">
        <f t="shared" si="4"/>
        <v>1839</v>
      </c>
      <c r="K29" s="138">
        <f t="shared" si="5"/>
        <v>7291</v>
      </c>
      <c r="M29" s="165">
        <f t="shared" si="6"/>
        <v>12</v>
      </c>
      <c r="N29" s="165">
        <v>260</v>
      </c>
      <c r="O29" s="165">
        <f t="shared" si="9"/>
        <v>3120</v>
      </c>
      <c r="P29" s="166">
        <f t="shared" si="10"/>
        <v>37440</v>
      </c>
      <c r="Q29" s="105"/>
      <c r="R29" s="108">
        <f>+'Schedule 9'!D26</f>
        <v>28.05</v>
      </c>
      <c r="S29" s="166">
        <f t="shared" si="7"/>
        <v>12</v>
      </c>
      <c r="T29" s="138">
        <f t="shared" si="11"/>
        <v>4039.2000000000003</v>
      </c>
      <c r="U29" s="165">
        <f t="shared" si="8"/>
        <v>-1245.7999999999997</v>
      </c>
    </row>
    <row r="30" spans="1:21">
      <c r="A30" s="136" t="s">
        <v>530</v>
      </c>
      <c r="B30" s="141">
        <f>+'2006 Stlgt Rates'!F31</f>
        <v>51.22</v>
      </c>
      <c r="C30" s="138">
        <f>+'Schedule 1'!C19</f>
        <v>76</v>
      </c>
      <c r="D30" s="138">
        <f t="shared" si="0"/>
        <v>46713</v>
      </c>
      <c r="E30" s="141">
        <f>+'2006 Stlgt Rates'!G31</f>
        <v>1.1599999999999999</v>
      </c>
      <c r="F30" s="138">
        <f t="shared" si="1"/>
        <v>76</v>
      </c>
      <c r="G30" s="138">
        <f t="shared" si="2"/>
        <v>1058</v>
      </c>
      <c r="H30" s="141">
        <f>+'2006 Stlgt Rates'!H31</f>
        <v>12.95</v>
      </c>
      <c r="I30" s="138">
        <f t="shared" si="3"/>
        <v>76</v>
      </c>
      <c r="J30" s="138">
        <f t="shared" si="4"/>
        <v>11810</v>
      </c>
      <c r="K30" s="138">
        <f t="shared" si="5"/>
        <v>59581</v>
      </c>
      <c r="M30" s="165">
        <f t="shared" si="6"/>
        <v>76</v>
      </c>
      <c r="N30" s="165">
        <v>363</v>
      </c>
      <c r="O30" s="165">
        <f t="shared" si="9"/>
        <v>27588</v>
      </c>
      <c r="P30" s="166">
        <f t="shared" si="10"/>
        <v>331056</v>
      </c>
      <c r="Q30" s="105"/>
      <c r="R30" s="108">
        <f>+'Schedule 9'!D27</f>
        <v>39.159999999999997</v>
      </c>
      <c r="S30" s="166">
        <f t="shared" si="7"/>
        <v>76</v>
      </c>
      <c r="T30" s="138">
        <f t="shared" si="11"/>
        <v>35713.919999999998</v>
      </c>
      <c r="U30" s="165">
        <f t="shared" si="8"/>
        <v>-10999.080000000002</v>
      </c>
    </row>
    <row r="31" spans="1:21">
      <c r="A31" s="136" t="s">
        <v>531</v>
      </c>
      <c r="B31" s="141">
        <f>+'2006 Stlgt Rates'!F25</f>
        <v>22.31</v>
      </c>
      <c r="C31" s="138">
        <f>+'Schedule 1'!C20</f>
        <v>5</v>
      </c>
      <c r="D31" s="138">
        <f t="shared" si="0"/>
        <v>1339</v>
      </c>
      <c r="E31" s="141">
        <f>+'2006 Stlgt Rates'!G25</f>
        <v>2.34</v>
      </c>
      <c r="F31" s="138">
        <f t="shared" si="1"/>
        <v>5</v>
      </c>
      <c r="G31" s="138">
        <f t="shared" si="2"/>
        <v>140</v>
      </c>
      <c r="H31" s="141">
        <f>+'2006 Stlgt Rates'!H25</f>
        <v>3.6500000000000021</v>
      </c>
      <c r="I31" s="138">
        <f t="shared" si="3"/>
        <v>5</v>
      </c>
      <c r="J31" s="138">
        <f t="shared" si="4"/>
        <v>219</v>
      </c>
      <c r="K31" s="138">
        <f t="shared" si="5"/>
        <v>1698</v>
      </c>
      <c r="M31" s="165">
        <f t="shared" si="6"/>
        <v>5</v>
      </c>
      <c r="N31" s="165">
        <v>212</v>
      </c>
      <c r="O31" s="165">
        <f t="shared" si="9"/>
        <v>1060</v>
      </c>
      <c r="P31" s="166">
        <f t="shared" si="10"/>
        <v>12720</v>
      </c>
      <c r="Q31" s="105"/>
      <c r="R31" s="108">
        <f>+'Schedule 9'!D28</f>
        <v>17.809999999999999</v>
      </c>
      <c r="S31" s="166">
        <f t="shared" si="7"/>
        <v>5</v>
      </c>
      <c r="T31" s="138">
        <f t="shared" si="11"/>
        <v>1068.5999999999999</v>
      </c>
      <c r="U31" s="165">
        <f t="shared" si="8"/>
        <v>-270.40000000000009</v>
      </c>
    </row>
    <row r="32" spans="1:21">
      <c r="A32" s="126"/>
      <c r="B32" s="141"/>
      <c r="C32" s="138"/>
      <c r="D32" s="138"/>
      <c r="E32" s="141"/>
      <c r="F32" s="138"/>
      <c r="G32" s="138"/>
      <c r="H32" s="141"/>
      <c r="I32" s="138"/>
      <c r="J32" s="138"/>
      <c r="K32" s="138"/>
      <c r="M32" s="165"/>
      <c r="N32" s="165"/>
      <c r="O32" s="105"/>
      <c r="P32" s="105"/>
      <c r="Q32" s="105"/>
      <c r="R32" s="108"/>
      <c r="S32" s="105"/>
      <c r="T32" s="105"/>
      <c r="U32" s="165"/>
    </row>
    <row r="33" spans="1:21">
      <c r="A33" s="136" t="s">
        <v>532</v>
      </c>
      <c r="B33" s="141">
        <f>+'2006 Stlgt Rates'!F21</f>
        <v>7.34</v>
      </c>
      <c r="C33" s="138">
        <f>+'Schedule 1'!D14</f>
        <v>9</v>
      </c>
      <c r="D33" s="138">
        <f t="shared" ref="D33:D38" si="12">ROUND(B33*C33*12,0)</f>
        <v>793</v>
      </c>
      <c r="E33" s="141">
        <f>+'2006 Stlgt Rates'!G21</f>
        <v>1.54</v>
      </c>
      <c r="F33" s="138">
        <f t="shared" ref="F33:F38" si="13">+C33</f>
        <v>9</v>
      </c>
      <c r="G33" s="138">
        <f t="shared" ref="G33:G38" si="14">ROUND(E33*F33*12,0)</f>
        <v>166</v>
      </c>
      <c r="H33" s="141">
        <f>+'2006 Stlgt Rates'!H21</f>
        <v>1.0000000000000675E-2</v>
      </c>
      <c r="I33" s="138">
        <f t="shared" ref="I33:I38" si="15">+F33</f>
        <v>9</v>
      </c>
      <c r="J33" s="138">
        <f t="shared" ref="J33:J38" si="16">ROUND(H33*I33*12,0)</f>
        <v>1</v>
      </c>
      <c r="K33" s="138">
        <f t="shared" ref="K33:K38" si="17">+D33+G33+J33</f>
        <v>960</v>
      </c>
      <c r="M33" s="165">
        <f t="shared" si="6"/>
        <v>9</v>
      </c>
      <c r="N33" s="165">
        <v>52</v>
      </c>
      <c r="O33" s="165">
        <f t="shared" ref="O33:O38" si="18">M33*N33</f>
        <v>468</v>
      </c>
      <c r="P33" s="166">
        <f t="shared" si="10"/>
        <v>5616</v>
      </c>
      <c r="Q33" s="105"/>
      <c r="R33" s="108">
        <f>+'Schedule 9'!D30</f>
        <v>5.61</v>
      </c>
      <c r="S33" s="166">
        <f t="shared" ref="S33:S38" si="19">+M33</f>
        <v>9</v>
      </c>
      <c r="T33" s="138">
        <f t="shared" ref="T33:T38" si="20">R33*S33*12</f>
        <v>605.88</v>
      </c>
      <c r="U33" s="165">
        <f t="shared" ref="U33:U38" si="21">T33-D33</f>
        <v>-187.12</v>
      </c>
    </row>
    <row r="34" spans="1:21">
      <c r="A34" s="136" t="s">
        <v>533</v>
      </c>
      <c r="B34" s="141">
        <f>+'2006 Stlgt Rates'!F23</f>
        <v>9.77</v>
      </c>
      <c r="C34" s="138">
        <f>+'Schedule 1'!D15</f>
        <v>24</v>
      </c>
      <c r="D34" s="138">
        <f t="shared" si="12"/>
        <v>2814</v>
      </c>
      <c r="E34" s="141">
        <f>+'2006 Stlgt Rates'!G23</f>
        <v>1.1599999999999999</v>
      </c>
      <c r="F34" s="138">
        <f t="shared" si="13"/>
        <v>24</v>
      </c>
      <c r="G34" s="138">
        <f t="shared" si="14"/>
        <v>334</v>
      </c>
      <c r="H34" s="141">
        <f>+'2006 Stlgt Rates'!H23</f>
        <v>0</v>
      </c>
      <c r="I34" s="138">
        <f t="shared" si="15"/>
        <v>24</v>
      </c>
      <c r="J34" s="138">
        <f t="shared" si="16"/>
        <v>0</v>
      </c>
      <c r="K34" s="138">
        <f t="shared" si="17"/>
        <v>3148</v>
      </c>
      <c r="M34" s="165">
        <f t="shared" si="6"/>
        <v>24</v>
      </c>
      <c r="N34" s="165">
        <v>69</v>
      </c>
      <c r="O34" s="165">
        <f t="shared" si="18"/>
        <v>1656</v>
      </c>
      <c r="P34" s="166">
        <f t="shared" si="10"/>
        <v>19872</v>
      </c>
      <c r="Q34" s="105"/>
      <c r="R34" s="108">
        <f>+'Schedule 9'!D31</f>
        <v>7.44</v>
      </c>
      <c r="S34" s="166">
        <f t="shared" si="19"/>
        <v>24</v>
      </c>
      <c r="T34" s="138">
        <f t="shared" si="20"/>
        <v>2142.7200000000003</v>
      </c>
      <c r="U34" s="165">
        <f t="shared" si="21"/>
        <v>-671.27999999999975</v>
      </c>
    </row>
    <row r="35" spans="1:21">
      <c r="A35" s="136" t="s">
        <v>534</v>
      </c>
      <c r="B35" s="141">
        <f>+'2006 Stlgt Rates'!F26</f>
        <v>13.69</v>
      </c>
      <c r="C35" s="138">
        <f>+'Schedule 1'!D16</f>
        <v>34</v>
      </c>
      <c r="D35" s="138">
        <f t="shared" si="12"/>
        <v>5586</v>
      </c>
      <c r="E35" s="141">
        <f>+'2006 Stlgt Rates'!G26</f>
        <v>1.1599999999999999</v>
      </c>
      <c r="F35" s="138">
        <f t="shared" si="13"/>
        <v>34</v>
      </c>
      <c r="G35" s="138">
        <f t="shared" si="14"/>
        <v>473</v>
      </c>
      <c r="H35" s="141">
        <f>+'2006 Stlgt Rates'!H26</f>
        <v>0</v>
      </c>
      <c r="I35" s="138">
        <f t="shared" si="15"/>
        <v>34</v>
      </c>
      <c r="J35" s="138">
        <f t="shared" si="16"/>
        <v>0</v>
      </c>
      <c r="K35" s="138">
        <f t="shared" si="17"/>
        <v>6059</v>
      </c>
      <c r="M35" s="165">
        <f t="shared" si="6"/>
        <v>34</v>
      </c>
      <c r="N35" s="165">
        <v>97</v>
      </c>
      <c r="O35" s="165">
        <f t="shared" si="18"/>
        <v>3298</v>
      </c>
      <c r="P35" s="166">
        <f t="shared" si="10"/>
        <v>39576</v>
      </c>
      <c r="Q35" s="105"/>
      <c r="R35" s="108">
        <f>+'Schedule 9'!D32</f>
        <v>10.46</v>
      </c>
      <c r="S35" s="166">
        <f t="shared" si="19"/>
        <v>34</v>
      </c>
      <c r="T35" s="138">
        <f t="shared" si="20"/>
        <v>4267.68</v>
      </c>
      <c r="U35" s="165">
        <f t="shared" si="21"/>
        <v>-1318.3199999999997</v>
      </c>
    </row>
    <row r="36" spans="1:21">
      <c r="A36" s="136" t="s">
        <v>535</v>
      </c>
      <c r="B36" s="141">
        <f>+'2006 Stlgt Rates'!F28</f>
        <v>21.73</v>
      </c>
      <c r="C36" s="138">
        <f>+'Schedule 1'!D17</f>
        <v>10</v>
      </c>
      <c r="D36" s="138">
        <f t="shared" si="12"/>
        <v>2608</v>
      </c>
      <c r="E36" s="141">
        <f>+'2006 Stlgt Rates'!G28</f>
        <v>1.1599999999999999</v>
      </c>
      <c r="F36" s="138">
        <f t="shared" si="13"/>
        <v>10</v>
      </c>
      <c r="G36" s="138">
        <f t="shared" si="14"/>
        <v>139</v>
      </c>
      <c r="H36" s="141">
        <f>+'2006 Stlgt Rates'!H28</f>
        <v>1.9999999999999796E-2</v>
      </c>
      <c r="I36" s="138">
        <f t="shared" si="15"/>
        <v>10</v>
      </c>
      <c r="J36" s="138">
        <f t="shared" si="16"/>
        <v>2</v>
      </c>
      <c r="K36" s="138">
        <f t="shared" si="17"/>
        <v>2749</v>
      </c>
      <c r="M36" s="165">
        <f t="shared" si="6"/>
        <v>10</v>
      </c>
      <c r="N36" s="165">
        <v>154</v>
      </c>
      <c r="O36" s="165">
        <f t="shared" si="18"/>
        <v>1540</v>
      </c>
      <c r="P36" s="166">
        <f t="shared" si="10"/>
        <v>18480</v>
      </c>
      <c r="Q36" s="105"/>
      <c r="R36" s="108">
        <f>+'Schedule 9'!D33</f>
        <v>16.61</v>
      </c>
      <c r="S36" s="166">
        <f t="shared" si="19"/>
        <v>10</v>
      </c>
      <c r="T36" s="138">
        <f t="shared" si="20"/>
        <v>1993.1999999999998</v>
      </c>
      <c r="U36" s="165">
        <f t="shared" si="21"/>
        <v>-614.80000000000018</v>
      </c>
    </row>
    <row r="37" spans="1:21">
      <c r="A37" s="136" t="s">
        <v>536</v>
      </c>
      <c r="B37" s="141">
        <f>+'2006 Stlgt Rates'!F29</f>
        <v>36.700000000000003</v>
      </c>
      <c r="C37" s="138">
        <f>+'Schedule 1'!D18</f>
        <v>0</v>
      </c>
      <c r="D37" s="138">
        <f t="shared" si="12"/>
        <v>0</v>
      </c>
      <c r="E37" s="141">
        <f>+'2006 Stlgt Rates'!G30</f>
        <v>1.1599999999999999</v>
      </c>
      <c r="F37" s="138">
        <f t="shared" si="13"/>
        <v>0</v>
      </c>
      <c r="G37" s="138">
        <f t="shared" si="14"/>
        <v>0</v>
      </c>
      <c r="H37" s="141">
        <f>+'2006 Stlgt Rates'!H30</f>
        <v>-3.3306690738754696E-15</v>
      </c>
      <c r="I37" s="138">
        <f t="shared" si="15"/>
        <v>0</v>
      </c>
      <c r="J37" s="138">
        <f t="shared" si="16"/>
        <v>0</v>
      </c>
      <c r="K37" s="138">
        <f t="shared" si="17"/>
        <v>0</v>
      </c>
      <c r="M37" s="165">
        <f t="shared" si="6"/>
        <v>0</v>
      </c>
      <c r="N37" s="165">
        <v>260</v>
      </c>
      <c r="O37" s="165">
        <f t="shared" si="18"/>
        <v>0</v>
      </c>
      <c r="P37" s="166">
        <f t="shared" si="10"/>
        <v>0</v>
      </c>
      <c r="Q37" s="105"/>
      <c r="R37" s="108">
        <f>+'Schedule 9'!D34</f>
        <v>28.05</v>
      </c>
      <c r="S37" s="166">
        <f t="shared" si="19"/>
        <v>0</v>
      </c>
      <c r="T37" s="138">
        <f t="shared" si="20"/>
        <v>0</v>
      </c>
      <c r="U37" s="165">
        <f t="shared" si="21"/>
        <v>0</v>
      </c>
    </row>
    <row r="38" spans="1:21">
      <c r="A38" s="136" t="s">
        <v>537</v>
      </c>
      <c r="B38" s="141">
        <f>+'2006 Stlgt Rates'!F32</f>
        <v>51.23</v>
      </c>
      <c r="C38" s="138">
        <f>+'Schedule 1'!D19</f>
        <v>17</v>
      </c>
      <c r="D38" s="138">
        <f t="shared" si="12"/>
        <v>10451</v>
      </c>
      <c r="E38" s="141">
        <f>+'2006 Stlgt Rates'!G32</f>
        <v>1.1599999999999999</v>
      </c>
      <c r="F38" s="138">
        <f t="shared" si="13"/>
        <v>17</v>
      </c>
      <c r="G38" s="138">
        <f t="shared" si="14"/>
        <v>237</v>
      </c>
      <c r="H38" s="141">
        <f>+'2006 Stlgt Rates'!H32</f>
        <v>1.0000000000001785E-2</v>
      </c>
      <c r="I38" s="138">
        <f t="shared" si="15"/>
        <v>17</v>
      </c>
      <c r="J38" s="138">
        <f t="shared" si="16"/>
        <v>2</v>
      </c>
      <c r="K38" s="138">
        <f t="shared" si="17"/>
        <v>10690</v>
      </c>
      <c r="M38" s="165">
        <f t="shared" si="6"/>
        <v>17</v>
      </c>
      <c r="N38" s="165">
        <v>363</v>
      </c>
      <c r="O38" s="165">
        <f t="shared" si="18"/>
        <v>6171</v>
      </c>
      <c r="P38" s="166">
        <f t="shared" si="10"/>
        <v>74052</v>
      </c>
      <c r="Q38" s="105"/>
      <c r="R38" s="108">
        <f>+'Schedule 9'!D35</f>
        <v>39.159999999999997</v>
      </c>
      <c r="S38" s="166">
        <f t="shared" si="19"/>
        <v>17</v>
      </c>
      <c r="T38" s="138">
        <f t="shared" si="20"/>
        <v>7988.6399999999994</v>
      </c>
      <c r="U38" s="165">
        <f t="shared" si="21"/>
        <v>-2462.3600000000006</v>
      </c>
    </row>
    <row r="39" spans="1:21">
      <c r="A39" s="126"/>
      <c r="B39" s="141"/>
      <c r="C39" s="138"/>
      <c r="D39" s="138"/>
      <c r="E39" s="141"/>
      <c r="F39" s="138"/>
      <c r="G39" s="138"/>
      <c r="H39" s="141"/>
      <c r="I39" s="138"/>
      <c r="J39" s="138"/>
      <c r="K39" s="138"/>
      <c r="M39" s="165"/>
      <c r="N39" s="165"/>
      <c r="O39" s="105"/>
      <c r="P39" s="105"/>
      <c r="Q39" s="105"/>
      <c r="R39" s="108"/>
      <c r="S39" s="105"/>
      <c r="T39" s="105"/>
      <c r="U39" s="165"/>
    </row>
    <row r="40" spans="1:21">
      <c r="A40" s="142" t="s">
        <v>538</v>
      </c>
      <c r="B40" s="143">
        <f>+'2006 Stlgt Rates'!F123</f>
        <v>5.5958240000000004</v>
      </c>
      <c r="C40" s="153">
        <f>+'Schedule 1'!E14</f>
        <v>11</v>
      </c>
      <c r="D40" s="153">
        <f t="shared" ref="D40:D45" si="22">ROUND(B40*C40*12,0)</f>
        <v>739</v>
      </c>
      <c r="E40" s="143">
        <v>0</v>
      </c>
      <c r="F40" s="153">
        <f t="shared" ref="F40:F45" si="23">+C40</f>
        <v>11</v>
      </c>
      <c r="G40" s="153">
        <f t="shared" ref="G40:G45" si="24">ROUND(E40*F40*12,0)</f>
        <v>0</v>
      </c>
      <c r="H40" s="143">
        <v>0</v>
      </c>
      <c r="I40" s="153">
        <f t="shared" ref="I40:I45" si="25">+F40</f>
        <v>11</v>
      </c>
      <c r="J40" s="153">
        <f t="shared" ref="J40:J45" si="26">ROUND(H40*I40*12,0)</f>
        <v>0</v>
      </c>
      <c r="K40" s="153">
        <f t="shared" ref="K40:K45" si="27">+D40+G40+J40</f>
        <v>739</v>
      </c>
      <c r="M40" s="145">
        <f t="shared" ref="M40:M45" si="28">+I40</f>
        <v>11</v>
      </c>
      <c r="N40" s="145">
        <v>52</v>
      </c>
      <c r="O40" s="145">
        <f t="shared" ref="O40:O45" si="29">M40*N40</f>
        <v>572</v>
      </c>
      <c r="P40" s="146">
        <f t="shared" ref="P40:P45" si="30">O40*12</f>
        <v>6864</v>
      </c>
      <c r="Q40" s="105"/>
      <c r="R40" s="97">
        <f>+'Schedule 9'!D37</f>
        <v>5.61</v>
      </c>
      <c r="S40" s="223">
        <f t="shared" ref="S40:S45" si="31">+M40</f>
        <v>11</v>
      </c>
      <c r="T40" s="224">
        <f t="shared" ref="T40:T45" si="32">R40*S40*12</f>
        <v>740.52</v>
      </c>
      <c r="U40" s="225">
        <f t="shared" ref="U40:U45" si="33">T40-D40</f>
        <v>1.5199999999999818</v>
      </c>
    </row>
    <row r="41" spans="1:21">
      <c r="A41" s="142" t="s">
        <v>539</v>
      </c>
      <c r="B41" s="143">
        <f>+'2006 Stlgt Rates'!F124</f>
        <v>7.4309760000000002</v>
      </c>
      <c r="C41" s="153">
        <f>+'Schedule 1'!E15</f>
        <v>153</v>
      </c>
      <c r="D41" s="153">
        <f t="shared" si="22"/>
        <v>13643</v>
      </c>
      <c r="E41" s="143">
        <v>0</v>
      </c>
      <c r="F41" s="153">
        <f t="shared" si="23"/>
        <v>153</v>
      </c>
      <c r="G41" s="153">
        <f t="shared" si="24"/>
        <v>0</v>
      </c>
      <c r="H41" s="143">
        <v>0</v>
      </c>
      <c r="I41" s="153">
        <f t="shared" si="25"/>
        <v>153</v>
      </c>
      <c r="J41" s="153">
        <f t="shared" si="26"/>
        <v>0</v>
      </c>
      <c r="K41" s="153">
        <f t="shared" si="27"/>
        <v>13643</v>
      </c>
      <c r="M41" s="145">
        <f t="shared" si="28"/>
        <v>153</v>
      </c>
      <c r="N41" s="145">
        <v>69</v>
      </c>
      <c r="O41" s="145">
        <f t="shared" si="29"/>
        <v>10557</v>
      </c>
      <c r="P41" s="146">
        <f t="shared" si="30"/>
        <v>126684</v>
      </c>
      <c r="Q41" s="105"/>
      <c r="R41" s="97">
        <f>+'Schedule 9'!D38</f>
        <v>7.44</v>
      </c>
      <c r="S41" s="223">
        <f t="shared" si="31"/>
        <v>153</v>
      </c>
      <c r="T41" s="224">
        <f t="shared" si="32"/>
        <v>13659.840000000002</v>
      </c>
      <c r="U41" s="225">
        <f t="shared" si="33"/>
        <v>16.840000000001965</v>
      </c>
    </row>
    <row r="42" spans="1:21">
      <c r="A42" s="142" t="s">
        <v>540</v>
      </c>
      <c r="B42" s="143">
        <f>+'2006 Stlgt Rates'!F125</f>
        <v>10.462032000000001</v>
      </c>
      <c r="C42" s="153">
        <f>+'Schedule 1'!E16</f>
        <v>54</v>
      </c>
      <c r="D42" s="153">
        <f t="shared" si="22"/>
        <v>6779</v>
      </c>
      <c r="E42" s="143">
        <v>0</v>
      </c>
      <c r="F42" s="153">
        <f t="shared" si="23"/>
        <v>54</v>
      </c>
      <c r="G42" s="153">
        <f t="shared" si="24"/>
        <v>0</v>
      </c>
      <c r="H42" s="143">
        <v>0</v>
      </c>
      <c r="I42" s="153">
        <f t="shared" si="25"/>
        <v>54</v>
      </c>
      <c r="J42" s="153">
        <f t="shared" si="26"/>
        <v>0</v>
      </c>
      <c r="K42" s="153">
        <f t="shared" si="27"/>
        <v>6779</v>
      </c>
      <c r="M42" s="145">
        <f t="shared" si="28"/>
        <v>54</v>
      </c>
      <c r="N42" s="145">
        <v>97</v>
      </c>
      <c r="O42" s="145">
        <f t="shared" si="29"/>
        <v>5238</v>
      </c>
      <c r="P42" s="146">
        <f t="shared" si="30"/>
        <v>62856</v>
      </c>
      <c r="Q42" s="105"/>
      <c r="R42" s="97">
        <f>+'Schedule 9'!D39</f>
        <v>10.46</v>
      </c>
      <c r="S42" s="223">
        <f t="shared" si="31"/>
        <v>54</v>
      </c>
      <c r="T42" s="224">
        <f t="shared" si="32"/>
        <v>6778.08</v>
      </c>
      <c r="U42" s="225">
        <f t="shared" si="33"/>
        <v>-0.92000000000007276</v>
      </c>
    </row>
    <row r="43" spans="1:21">
      <c r="A43" s="142" t="s">
        <v>541</v>
      </c>
      <c r="B43" s="143">
        <f>+'2006 Stlgt Rates'!F126</f>
        <v>16.611055999999998</v>
      </c>
      <c r="C43" s="153">
        <f>+'Schedule 1'!E17</f>
        <v>16</v>
      </c>
      <c r="D43" s="153">
        <f t="shared" si="22"/>
        <v>3189</v>
      </c>
      <c r="E43" s="143">
        <v>0</v>
      </c>
      <c r="F43" s="153">
        <f t="shared" si="23"/>
        <v>16</v>
      </c>
      <c r="G43" s="153">
        <f t="shared" si="24"/>
        <v>0</v>
      </c>
      <c r="H43" s="143">
        <v>0</v>
      </c>
      <c r="I43" s="153">
        <f t="shared" si="25"/>
        <v>16</v>
      </c>
      <c r="J43" s="153">
        <f t="shared" si="26"/>
        <v>0</v>
      </c>
      <c r="K43" s="153">
        <f t="shared" si="27"/>
        <v>3189</v>
      </c>
      <c r="M43" s="145">
        <f t="shared" si="28"/>
        <v>16</v>
      </c>
      <c r="N43" s="145">
        <v>154</v>
      </c>
      <c r="O43" s="145">
        <f t="shared" si="29"/>
        <v>2464</v>
      </c>
      <c r="P43" s="146">
        <f t="shared" si="30"/>
        <v>29568</v>
      </c>
      <c r="Q43" s="105"/>
      <c r="R43" s="97">
        <f>+'Schedule 9'!D40</f>
        <v>16.61</v>
      </c>
      <c r="S43" s="223">
        <f t="shared" si="31"/>
        <v>16</v>
      </c>
      <c r="T43" s="224">
        <f t="shared" si="32"/>
        <v>3189.12</v>
      </c>
      <c r="U43" s="225">
        <f t="shared" si="33"/>
        <v>0.11999999999989086</v>
      </c>
    </row>
    <row r="44" spans="1:21">
      <c r="A44" s="142" t="s">
        <v>542</v>
      </c>
      <c r="B44" s="143">
        <f>+'2006 Stlgt Rates'!F127</f>
        <v>28.040848</v>
      </c>
      <c r="C44" s="153">
        <f>+'Schedule 1'!E18</f>
        <v>1</v>
      </c>
      <c r="D44" s="153">
        <f t="shared" si="22"/>
        <v>336</v>
      </c>
      <c r="E44" s="143">
        <v>0</v>
      </c>
      <c r="F44" s="153">
        <f t="shared" si="23"/>
        <v>1</v>
      </c>
      <c r="G44" s="153">
        <f t="shared" si="24"/>
        <v>0</v>
      </c>
      <c r="H44" s="143">
        <v>0</v>
      </c>
      <c r="I44" s="153">
        <f t="shared" si="25"/>
        <v>1</v>
      </c>
      <c r="J44" s="153">
        <f t="shared" si="26"/>
        <v>0</v>
      </c>
      <c r="K44" s="153">
        <f t="shared" si="27"/>
        <v>336</v>
      </c>
      <c r="M44" s="145">
        <f t="shared" si="28"/>
        <v>1</v>
      </c>
      <c r="N44" s="145">
        <v>260</v>
      </c>
      <c r="O44" s="145">
        <f t="shared" si="29"/>
        <v>260</v>
      </c>
      <c r="P44" s="146">
        <f t="shared" si="30"/>
        <v>3120</v>
      </c>
      <c r="Q44" s="105"/>
      <c r="R44" s="97">
        <f>+'Schedule 9'!D41</f>
        <v>28.05</v>
      </c>
      <c r="S44" s="223">
        <f t="shared" si="31"/>
        <v>1</v>
      </c>
      <c r="T44" s="224">
        <f t="shared" si="32"/>
        <v>336.6</v>
      </c>
      <c r="U44" s="225">
        <f t="shared" si="33"/>
        <v>0.60000000000002274</v>
      </c>
    </row>
    <row r="45" spans="1:21">
      <c r="A45" s="142" t="s">
        <v>543</v>
      </c>
      <c r="B45" s="143">
        <f>+'2006 Stlgt Rates'!F128</f>
        <v>39.164719999999996</v>
      </c>
      <c r="C45" s="144">
        <f>+'Schedule 1'!E19</f>
        <v>7</v>
      </c>
      <c r="D45" s="144">
        <f t="shared" si="22"/>
        <v>3290</v>
      </c>
      <c r="E45" s="143">
        <v>0</v>
      </c>
      <c r="F45" s="144">
        <f t="shared" si="23"/>
        <v>7</v>
      </c>
      <c r="G45" s="144">
        <f t="shared" si="24"/>
        <v>0</v>
      </c>
      <c r="H45" s="143">
        <v>0</v>
      </c>
      <c r="I45" s="144">
        <f t="shared" si="25"/>
        <v>7</v>
      </c>
      <c r="J45" s="144">
        <f t="shared" si="26"/>
        <v>0</v>
      </c>
      <c r="K45" s="144">
        <f t="shared" si="27"/>
        <v>3290</v>
      </c>
      <c r="M45" s="145">
        <f t="shared" si="28"/>
        <v>7</v>
      </c>
      <c r="N45" s="145">
        <v>363</v>
      </c>
      <c r="O45" s="145">
        <f t="shared" si="29"/>
        <v>2541</v>
      </c>
      <c r="P45" s="146">
        <f t="shared" si="30"/>
        <v>30492</v>
      </c>
      <c r="Q45" s="105"/>
      <c r="R45" s="97">
        <f>+'Schedule 9'!D42</f>
        <v>39.159999999999997</v>
      </c>
      <c r="S45" s="223">
        <f t="shared" si="31"/>
        <v>7</v>
      </c>
      <c r="T45" s="224">
        <f t="shared" si="32"/>
        <v>3289.44</v>
      </c>
      <c r="U45" s="225">
        <f t="shared" si="33"/>
        <v>-0.55999999999994543</v>
      </c>
    </row>
    <row r="46" spans="1:21">
      <c r="A46" s="126"/>
      <c r="B46" s="141"/>
      <c r="C46" s="138"/>
      <c r="D46" s="138"/>
      <c r="E46" s="141"/>
      <c r="F46" s="138"/>
      <c r="G46" s="138"/>
      <c r="H46" s="141"/>
      <c r="I46" s="138"/>
      <c r="J46" s="138"/>
      <c r="K46" s="138"/>
      <c r="M46" s="165"/>
      <c r="N46" s="165"/>
      <c r="O46" s="105"/>
      <c r="P46" s="105"/>
      <c r="Q46" s="105"/>
      <c r="R46" s="108"/>
      <c r="S46" s="105"/>
      <c r="T46" s="105"/>
      <c r="U46" s="165"/>
    </row>
    <row r="47" spans="1:21">
      <c r="A47" s="154" t="s">
        <v>33</v>
      </c>
      <c r="B47" s="141"/>
      <c r="C47" s="151">
        <f>SUM(C24:C46)</f>
        <v>18443</v>
      </c>
      <c r="D47" s="151">
        <f>SUM(D24:D46)</f>
        <v>2120023</v>
      </c>
      <c r="E47" s="141"/>
      <c r="F47" s="151">
        <f>SUM(F24:F46)</f>
        <v>18443</v>
      </c>
      <c r="G47" s="151">
        <f>SUM(G24:G46)</f>
        <v>308015</v>
      </c>
      <c r="H47" s="141"/>
      <c r="I47" s="151">
        <f>SUM(I24:I46)</f>
        <v>18443</v>
      </c>
      <c r="J47" s="151">
        <f>SUM(J24:J46)</f>
        <v>778144</v>
      </c>
      <c r="K47" s="151">
        <f>SUM(K24:K46)</f>
        <v>3206182</v>
      </c>
      <c r="M47" s="165">
        <f>SUM(M24:M46)</f>
        <v>18443</v>
      </c>
      <c r="N47" s="165"/>
      <c r="O47" s="165">
        <f>SUM(O24:O46)</f>
        <v>1257463</v>
      </c>
      <c r="P47" s="165">
        <f>SUM(P24:P46)</f>
        <v>15089556</v>
      </c>
      <c r="Q47" s="105"/>
      <c r="R47" s="108"/>
      <c r="S47" s="151">
        <f>SUM(S24:S46)</f>
        <v>18443</v>
      </c>
      <c r="T47" s="151">
        <f>SUM(T24:T46)</f>
        <v>1627318.56</v>
      </c>
      <c r="U47" s="220">
        <f>SUM(U24:U46)</f>
        <v>-492704.43999999989</v>
      </c>
    </row>
    <row r="48" spans="1:21">
      <c r="A48" s="154"/>
      <c r="B48" s="141"/>
      <c r="C48" s="151"/>
      <c r="D48" s="151"/>
      <c r="E48" s="141"/>
      <c r="F48" s="151"/>
      <c r="G48" s="151"/>
      <c r="H48" s="141"/>
      <c r="I48" s="151"/>
      <c r="J48" s="151"/>
      <c r="K48" s="151"/>
      <c r="M48" s="165"/>
      <c r="N48" s="165"/>
      <c r="O48" s="165"/>
      <c r="P48" s="165"/>
      <c r="Q48" s="105"/>
      <c r="R48" s="108"/>
      <c r="S48" s="105"/>
      <c r="T48" s="105"/>
      <c r="U48" s="165"/>
    </row>
    <row r="49" spans="1:21">
      <c r="A49" s="155" t="s">
        <v>544</v>
      </c>
      <c r="B49" s="141"/>
      <c r="C49" s="138"/>
      <c r="D49" s="138"/>
      <c r="E49" s="141"/>
      <c r="F49" s="138"/>
      <c r="G49" s="138"/>
      <c r="H49" s="141"/>
      <c r="I49" s="138"/>
      <c r="J49" s="138"/>
      <c r="K49" s="138"/>
      <c r="M49" s="165"/>
      <c r="N49" s="165"/>
      <c r="O49" s="105"/>
      <c r="P49" s="105"/>
      <c r="Q49" s="105"/>
      <c r="R49" s="108"/>
      <c r="S49" s="105"/>
      <c r="T49" s="105"/>
      <c r="U49" s="165"/>
    </row>
    <row r="50" spans="1:21">
      <c r="A50" s="126"/>
      <c r="B50" s="141"/>
      <c r="C50" s="138"/>
      <c r="D50" s="138"/>
      <c r="E50" s="141"/>
      <c r="F50" s="138"/>
      <c r="G50" s="138"/>
      <c r="H50" s="141"/>
      <c r="I50" s="138"/>
      <c r="J50" s="138"/>
      <c r="K50" s="138"/>
      <c r="M50" s="165"/>
      <c r="N50" s="165"/>
      <c r="O50" s="105"/>
      <c r="P50" s="105"/>
      <c r="Q50" s="105"/>
      <c r="R50" s="105"/>
      <c r="S50" s="105"/>
      <c r="T50" s="105"/>
      <c r="U50" s="105"/>
    </row>
    <row r="51" spans="1:21">
      <c r="A51" s="136" t="s">
        <v>545</v>
      </c>
      <c r="B51" s="141">
        <f>+'2006 Stlgt Rates'!F38</f>
        <v>4.25</v>
      </c>
      <c r="C51" s="138">
        <f>+'Schedule 1'!C23</f>
        <v>913</v>
      </c>
      <c r="D51" s="138">
        <f t="shared" ref="D51:D57" si="34">ROUND(B51*C51*12,0)</f>
        <v>46563</v>
      </c>
      <c r="E51" s="141">
        <f>+'2006 Stlgt Rates'!G38</f>
        <v>1.86</v>
      </c>
      <c r="F51" s="138">
        <f t="shared" ref="F51:F57" si="35">+C51</f>
        <v>913</v>
      </c>
      <c r="G51" s="138">
        <f t="shared" ref="G51:G57" si="36">ROUND(E51*F51*12,0)</f>
        <v>20378</v>
      </c>
      <c r="H51" s="141">
        <f>+'2006 Stlgt Rates'!H38</f>
        <v>4.089999999999999</v>
      </c>
      <c r="I51" s="138">
        <f t="shared" ref="I51:I57" si="37">+F51</f>
        <v>913</v>
      </c>
      <c r="J51" s="138">
        <f t="shared" ref="J51:J57" si="38">ROUND(H51*I51*12,0)</f>
        <v>44810</v>
      </c>
      <c r="K51" s="138">
        <f t="shared" ref="K51:K57" si="39">+D51+G51+J51</f>
        <v>111751</v>
      </c>
      <c r="M51" s="165">
        <f>+I51</f>
        <v>913</v>
      </c>
      <c r="N51" s="165">
        <v>30</v>
      </c>
      <c r="O51" s="165">
        <f>M51*N51</f>
        <v>27390</v>
      </c>
      <c r="P51" s="166">
        <f>O51*12</f>
        <v>328680</v>
      </c>
      <c r="Q51" s="105"/>
      <c r="R51" s="108">
        <f>+'Schedule 9'!D46</f>
        <v>3.24</v>
      </c>
      <c r="S51" s="166">
        <f t="shared" ref="S51:S57" si="40">+M51</f>
        <v>913</v>
      </c>
      <c r="T51" s="138">
        <f t="shared" ref="T51:T57" si="41">R51*S51*12</f>
        <v>35497.440000000002</v>
      </c>
      <c r="U51" s="165">
        <f t="shared" ref="U51:U57" si="42">T51-D51</f>
        <v>-11065.559999999998</v>
      </c>
    </row>
    <row r="52" spans="1:21">
      <c r="A52" s="136" t="s">
        <v>546</v>
      </c>
      <c r="B52" s="141">
        <f>+'2006 Stlgt Rates'!F40</f>
        <v>11.98</v>
      </c>
      <c r="C52" s="138">
        <f>+'Schedule 1'!C24</f>
        <v>153</v>
      </c>
      <c r="D52" s="138">
        <f t="shared" si="34"/>
        <v>21995</v>
      </c>
      <c r="E52" s="141">
        <f>+'2006 Stlgt Rates'!G40</f>
        <v>1.86</v>
      </c>
      <c r="F52" s="138">
        <f t="shared" si="35"/>
        <v>153</v>
      </c>
      <c r="G52" s="138">
        <f t="shared" si="36"/>
        <v>3415</v>
      </c>
      <c r="H52" s="141">
        <f>+'2006 Stlgt Rates'!H40</f>
        <v>4.6999999999999984</v>
      </c>
      <c r="I52" s="138">
        <f t="shared" si="37"/>
        <v>153</v>
      </c>
      <c r="J52" s="138">
        <f t="shared" si="38"/>
        <v>8629</v>
      </c>
      <c r="K52" s="138">
        <f t="shared" si="39"/>
        <v>34039</v>
      </c>
      <c r="M52" s="165">
        <f t="shared" ref="M52:M57" si="43">+I52</f>
        <v>153</v>
      </c>
      <c r="N52" s="165">
        <v>85</v>
      </c>
      <c r="O52" s="165">
        <f t="shared" ref="O52:O57" si="44">M52*N52</f>
        <v>13005</v>
      </c>
      <c r="P52" s="166">
        <f t="shared" ref="P52:P57" si="45">O52*12</f>
        <v>156060</v>
      </c>
      <c r="Q52" s="105"/>
      <c r="R52" s="108">
        <f>+'Schedule 9'!D47</f>
        <v>9.17</v>
      </c>
      <c r="S52" s="166">
        <f t="shared" si="40"/>
        <v>153</v>
      </c>
      <c r="T52" s="138">
        <f t="shared" si="41"/>
        <v>16836.12</v>
      </c>
      <c r="U52" s="165">
        <f t="shared" si="42"/>
        <v>-5158.880000000001</v>
      </c>
    </row>
    <row r="53" spans="1:21">
      <c r="A53" s="136" t="s">
        <v>547</v>
      </c>
      <c r="B53" s="141">
        <f>+'2006 Stlgt Rates'!F46</f>
        <v>16.38</v>
      </c>
      <c r="C53" s="138">
        <f>+'Schedule 1'!C25</f>
        <v>68</v>
      </c>
      <c r="D53" s="138">
        <f t="shared" si="34"/>
        <v>13366</v>
      </c>
      <c r="E53" s="141">
        <f>+'2006 Stlgt Rates'!G46</f>
        <v>1.86</v>
      </c>
      <c r="F53" s="138">
        <f t="shared" si="35"/>
        <v>68</v>
      </c>
      <c r="G53" s="138">
        <f t="shared" si="36"/>
        <v>1518</v>
      </c>
      <c r="H53" s="141">
        <f>+'2006 Stlgt Rates'!H46</f>
        <v>5.7499999999999991</v>
      </c>
      <c r="I53" s="138">
        <f t="shared" si="37"/>
        <v>68</v>
      </c>
      <c r="J53" s="138">
        <f t="shared" si="38"/>
        <v>4692</v>
      </c>
      <c r="K53" s="138">
        <f t="shared" si="39"/>
        <v>19576</v>
      </c>
      <c r="M53" s="165">
        <f t="shared" si="43"/>
        <v>68</v>
      </c>
      <c r="N53" s="165">
        <v>116</v>
      </c>
      <c r="O53" s="165">
        <f t="shared" si="44"/>
        <v>7888</v>
      </c>
      <c r="P53" s="166">
        <f t="shared" si="45"/>
        <v>94656</v>
      </c>
      <c r="Q53" s="105"/>
      <c r="R53" s="108">
        <f>+'Schedule 9'!D48</f>
        <v>12.51</v>
      </c>
      <c r="S53" s="166">
        <f t="shared" si="40"/>
        <v>68</v>
      </c>
      <c r="T53" s="138">
        <f t="shared" si="41"/>
        <v>10208.16</v>
      </c>
      <c r="U53" s="165">
        <f t="shared" si="42"/>
        <v>-3157.84</v>
      </c>
    </row>
    <row r="54" spans="1:21">
      <c r="A54" s="136" t="s">
        <v>548</v>
      </c>
      <c r="B54" s="141">
        <f>+'2006 Stlgt Rates'!F47</f>
        <v>31.31</v>
      </c>
      <c r="C54" s="138">
        <f>+'Schedule 1'!C26</f>
        <v>15</v>
      </c>
      <c r="D54" s="138">
        <f t="shared" si="34"/>
        <v>5636</v>
      </c>
      <c r="E54" s="141">
        <f>+'2006 Stlgt Rates'!G47</f>
        <v>1.86</v>
      </c>
      <c r="F54" s="138">
        <f t="shared" si="35"/>
        <v>15</v>
      </c>
      <c r="G54" s="138">
        <f t="shared" si="36"/>
        <v>335</v>
      </c>
      <c r="H54" s="141">
        <f>+'2006 Stlgt Rates'!H47</f>
        <v>8.4400000000000013</v>
      </c>
      <c r="I54" s="138">
        <f t="shared" si="37"/>
        <v>15</v>
      </c>
      <c r="J54" s="138">
        <f t="shared" si="38"/>
        <v>1519</v>
      </c>
      <c r="K54" s="138">
        <f t="shared" si="39"/>
        <v>7490</v>
      </c>
      <c r="M54" s="165">
        <f t="shared" si="43"/>
        <v>15</v>
      </c>
      <c r="N54" s="165">
        <v>222</v>
      </c>
      <c r="O54" s="165">
        <f t="shared" si="44"/>
        <v>3330</v>
      </c>
      <c r="P54" s="166">
        <f t="shared" si="45"/>
        <v>39960</v>
      </c>
      <c r="Q54" s="105"/>
      <c r="R54" s="108">
        <f>+'Schedule 9'!D49</f>
        <v>23.95</v>
      </c>
      <c r="S54" s="166">
        <f t="shared" si="40"/>
        <v>15</v>
      </c>
      <c r="T54" s="138">
        <f t="shared" si="41"/>
        <v>4311</v>
      </c>
      <c r="U54" s="165">
        <f t="shared" si="42"/>
        <v>-1325</v>
      </c>
    </row>
    <row r="55" spans="1:21">
      <c r="A55" s="136" t="s">
        <v>549</v>
      </c>
      <c r="B55" s="141">
        <f>+'2006 Stlgt Rates'!F49</f>
        <v>6.63</v>
      </c>
      <c r="C55" s="138">
        <f>+'Schedule 1'!C27</f>
        <v>5</v>
      </c>
      <c r="D55" s="138">
        <f t="shared" si="34"/>
        <v>398</v>
      </c>
      <c r="E55" s="141">
        <f>+'2006 Stlgt Rates'!G49</f>
        <v>1.86</v>
      </c>
      <c r="F55" s="138">
        <f t="shared" si="35"/>
        <v>5</v>
      </c>
      <c r="G55" s="138">
        <f t="shared" si="36"/>
        <v>112</v>
      </c>
      <c r="H55" s="141">
        <f>+'2006 Stlgt Rates'!H49</f>
        <v>5.34</v>
      </c>
      <c r="I55" s="138">
        <f t="shared" si="37"/>
        <v>5</v>
      </c>
      <c r="J55" s="138">
        <f t="shared" si="38"/>
        <v>320</v>
      </c>
      <c r="K55" s="138">
        <f t="shared" si="39"/>
        <v>830</v>
      </c>
      <c r="M55" s="165">
        <f t="shared" si="43"/>
        <v>5</v>
      </c>
      <c r="N55" s="165">
        <v>47</v>
      </c>
      <c r="O55" s="165">
        <f t="shared" si="44"/>
        <v>235</v>
      </c>
      <c r="P55" s="166">
        <f t="shared" si="45"/>
        <v>2820</v>
      </c>
      <c r="Q55" s="105"/>
      <c r="R55" s="108">
        <f>+'Schedule 9'!D50</f>
        <v>5.07</v>
      </c>
      <c r="S55" s="166">
        <f t="shared" si="40"/>
        <v>5</v>
      </c>
      <c r="T55" s="138">
        <f t="shared" si="41"/>
        <v>304.20000000000005</v>
      </c>
      <c r="U55" s="165">
        <f t="shared" si="42"/>
        <v>-93.799999999999955</v>
      </c>
    </row>
    <row r="56" spans="1:21">
      <c r="A56" s="136" t="s">
        <v>550</v>
      </c>
      <c r="B56" s="141">
        <f>+'2006 Stlgt Rates'!F44</f>
        <v>8.48</v>
      </c>
      <c r="C56" s="138">
        <f>+'Schedule 1'!C28</f>
        <v>2</v>
      </c>
      <c r="D56" s="138">
        <f t="shared" si="34"/>
        <v>204</v>
      </c>
      <c r="E56" s="141">
        <f>+'2006 Stlgt Rates'!G44</f>
        <v>1.86</v>
      </c>
      <c r="F56" s="138">
        <f t="shared" si="35"/>
        <v>2</v>
      </c>
      <c r="G56" s="138">
        <f t="shared" si="36"/>
        <v>45</v>
      </c>
      <c r="H56" s="141">
        <f>+'2006 Stlgt Rates'!H44</f>
        <v>4.3999999999999995</v>
      </c>
      <c r="I56" s="138">
        <f t="shared" si="37"/>
        <v>2</v>
      </c>
      <c r="J56" s="138">
        <f t="shared" si="38"/>
        <v>106</v>
      </c>
      <c r="K56" s="138">
        <f t="shared" si="39"/>
        <v>355</v>
      </c>
      <c r="M56" s="165">
        <f t="shared" si="43"/>
        <v>2</v>
      </c>
      <c r="N56" s="165">
        <v>60</v>
      </c>
      <c r="O56" s="165">
        <f t="shared" si="44"/>
        <v>120</v>
      </c>
      <c r="P56" s="166">
        <f t="shared" si="45"/>
        <v>1440</v>
      </c>
      <c r="Q56" s="105"/>
      <c r="R56" s="108">
        <f>+'Schedule 9'!D51</f>
        <v>6.47</v>
      </c>
      <c r="S56" s="166">
        <f t="shared" si="40"/>
        <v>2</v>
      </c>
      <c r="T56" s="138">
        <f t="shared" si="41"/>
        <v>155.28</v>
      </c>
      <c r="U56" s="165">
        <f t="shared" si="42"/>
        <v>-48.72</v>
      </c>
    </row>
    <row r="57" spans="1:21">
      <c r="A57" s="136" t="s">
        <v>551</v>
      </c>
      <c r="B57" s="141">
        <f>+'2006 Stlgt Rates'!F42</f>
        <v>23.46</v>
      </c>
      <c r="C57" s="138">
        <f>+'Schedule 1'!C29</f>
        <v>2</v>
      </c>
      <c r="D57" s="138">
        <f t="shared" si="34"/>
        <v>563</v>
      </c>
      <c r="E57" s="141">
        <f>+'2006 Stlgt Rates'!G46</f>
        <v>1.86</v>
      </c>
      <c r="F57" s="138">
        <f t="shared" si="35"/>
        <v>2</v>
      </c>
      <c r="G57" s="138">
        <f t="shared" si="36"/>
        <v>45</v>
      </c>
      <c r="H57" s="141">
        <f>+'2006 Stlgt Rates'!H42</f>
        <v>5.96</v>
      </c>
      <c r="I57" s="138">
        <f t="shared" si="37"/>
        <v>2</v>
      </c>
      <c r="J57" s="138">
        <f t="shared" si="38"/>
        <v>143</v>
      </c>
      <c r="K57" s="138">
        <f t="shared" si="39"/>
        <v>751</v>
      </c>
      <c r="M57" s="165">
        <f t="shared" si="43"/>
        <v>2</v>
      </c>
      <c r="N57" s="165">
        <v>166</v>
      </c>
      <c r="O57" s="165">
        <f t="shared" si="44"/>
        <v>332</v>
      </c>
      <c r="P57" s="166">
        <f t="shared" si="45"/>
        <v>3984</v>
      </c>
      <c r="Q57" s="105"/>
      <c r="R57" s="108">
        <f>+'Schedule 9'!D52</f>
        <v>17.91</v>
      </c>
      <c r="S57" s="166">
        <f t="shared" si="40"/>
        <v>2</v>
      </c>
      <c r="T57" s="138">
        <f t="shared" si="41"/>
        <v>429.84000000000003</v>
      </c>
      <c r="U57" s="165">
        <f t="shared" si="42"/>
        <v>-133.15999999999997</v>
      </c>
    </row>
    <row r="58" spans="1:21">
      <c r="A58" s="126"/>
      <c r="B58" s="141"/>
      <c r="C58" s="138"/>
      <c r="D58" s="138"/>
      <c r="E58" s="141"/>
      <c r="F58" s="138"/>
      <c r="G58" s="138"/>
      <c r="H58" s="141"/>
      <c r="I58" s="138"/>
      <c r="J58" s="138"/>
      <c r="K58" s="138"/>
      <c r="M58" s="165"/>
      <c r="N58" s="165"/>
      <c r="O58" s="105"/>
      <c r="P58" s="105"/>
      <c r="Q58" s="105"/>
      <c r="R58" s="108"/>
      <c r="S58" s="105"/>
      <c r="T58" s="105"/>
      <c r="U58" s="165"/>
    </row>
    <row r="59" spans="1:21">
      <c r="A59" s="136" t="s">
        <v>552</v>
      </c>
      <c r="B59" s="141">
        <f>+'2006 Stlgt Rates'!F48</f>
        <v>31.31</v>
      </c>
      <c r="C59" s="138">
        <f>+'Schedule 1'!D26</f>
        <v>0</v>
      </c>
      <c r="D59" s="138">
        <f t="shared" ref="D59:D64" si="46">ROUND(B59*C59*12,0)</f>
        <v>0</v>
      </c>
      <c r="E59" s="141">
        <f>+'2006 Stlgt Rates'!G48</f>
        <v>1.86</v>
      </c>
      <c r="F59" s="138">
        <f t="shared" ref="F59:F64" si="47">+C59</f>
        <v>0</v>
      </c>
      <c r="G59" s="138">
        <f t="shared" ref="G59:G64" si="48">ROUND(E59*F59*12,0)</f>
        <v>0</v>
      </c>
      <c r="H59" s="141">
        <f>+'2006 Stlgt Rates'!H48</f>
        <v>2.886579864025407E-15</v>
      </c>
      <c r="I59" s="138">
        <f t="shared" ref="I59:I64" si="49">+F59</f>
        <v>0</v>
      </c>
      <c r="J59" s="138">
        <f t="shared" ref="J59:J64" si="50">ROUND(H59*I59*12,0)</f>
        <v>0</v>
      </c>
      <c r="K59" s="138">
        <f t="shared" ref="K59:K64" si="51">+D59+G59+J59</f>
        <v>0</v>
      </c>
      <c r="M59" s="165">
        <f t="shared" ref="M59:M64" si="52">+I59</f>
        <v>0</v>
      </c>
      <c r="N59" s="165">
        <v>222</v>
      </c>
      <c r="O59" s="165">
        <f t="shared" ref="O59:O64" si="53">M59*N59</f>
        <v>0</v>
      </c>
      <c r="P59" s="166">
        <f t="shared" ref="P59:P64" si="54">O59*12</f>
        <v>0</v>
      </c>
      <c r="Q59" s="105"/>
      <c r="R59" s="108">
        <f>+'Schedule 9'!D55</f>
        <v>23.95</v>
      </c>
      <c r="S59" s="166">
        <f t="shared" ref="S59:S64" si="55">+M59</f>
        <v>0</v>
      </c>
      <c r="T59" s="138">
        <f t="shared" ref="T59:T64" si="56">R59*S59*12</f>
        <v>0</v>
      </c>
      <c r="U59" s="165">
        <f t="shared" ref="U59:U64" si="57">T59-D59</f>
        <v>0</v>
      </c>
    </row>
    <row r="60" spans="1:21">
      <c r="A60" s="136" t="s">
        <v>553</v>
      </c>
      <c r="B60" s="141">
        <f>+'2006 Stlgt Rates'!F50</f>
        <v>6.63</v>
      </c>
      <c r="C60" s="138">
        <f>+'Schedule 1'!D27</f>
        <v>26</v>
      </c>
      <c r="D60" s="138">
        <f t="shared" si="46"/>
        <v>2069</v>
      </c>
      <c r="E60" s="141">
        <f>+'2006 Stlgt Rates'!G50</f>
        <v>1.86</v>
      </c>
      <c r="F60" s="138">
        <f t="shared" si="47"/>
        <v>26</v>
      </c>
      <c r="G60" s="138">
        <f t="shared" si="48"/>
        <v>580</v>
      </c>
      <c r="H60" s="141">
        <f>+'2006 Stlgt Rates'!H50</f>
        <v>-9.9999999999995648E-3</v>
      </c>
      <c r="I60" s="138">
        <f t="shared" si="49"/>
        <v>26</v>
      </c>
      <c r="J60" s="138">
        <f t="shared" si="50"/>
        <v>-3</v>
      </c>
      <c r="K60" s="138">
        <f t="shared" si="51"/>
        <v>2646</v>
      </c>
      <c r="M60" s="165">
        <f t="shared" si="52"/>
        <v>26</v>
      </c>
      <c r="N60" s="165">
        <v>47</v>
      </c>
      <c r="O60" s="165">
        <f t="shared" si="53"/>
        <v>1222</v>
      </c>
      <c r="P60" s="166">
        <f t="shared" si="54"/>
        <v>14664</v>
      </c>
      <c r="Q60" s="105"/>
      <c r="R60" s="108">
        <f>+'Schedule 9'!D56</f>
        <v>5.07</v>
      </c>
      <c r="S60" s="166">
        <f t="shared" si="55"/>
        <v>26</v>
      </c>
      <c r="T60" s="138">
        <f t="shared" si="56"/>
        <v>1581.84</v>
      </c>
      <c r="U60" s="165">
        <f t="shared" si="57"/>
        <v>-487.16000000000008</v>
      </c>
    </row>
    <row r="61" spans="1:21">
      <c r="A61" s="136" t="s">
        <v>554</v>
      </c>
      <c r="B61" s="141">
        <f>+'2006 Stlgt Rates'!F45</f>
        <v>8.5</v>
      </c>
      <c r="C61" s="138">
        <f>+'Schedule 1'!D28</f>
        <v>3</v>
      </c>
      <c r="D61" s="138">
        <f t="shared" si="46"/>
        <v>306</v>
      </c>
      <c r="E61" s="141">
        <f>+'2006 Stlgt Rates'!G45</f>
        <v>1.86</v>
      </c>
      <c r="F61" s="138">
        <f t="shared" si="47"/>
        <v>3</v>
      </c>
      <c r="G61" s="138">
        <f t="shared" si="48"/>
        <v>67</v>
      </c>
      <c r="H61" s="141">
        <f>+'2006 Stlgt Rates'!H45</f>
        <v>-1.0000000000000453E-2</v>
      </c>
      <c r="I61" s="138">
        <f t="shared" si="49"/>
        <v>3</v>
      </c>
      <c r="J61" s="138">
        <f t="shared" si="50"/>
        <v>0</v>
      </c>
      <c r="K61" s="138">
        <f t="shared" si="51"/>
        <v>373</v>
      </c>
      <c r="M61" s="165">
        <f t="shared" si="52"/>
        <v>3</v>
      </c>
      <c r="N61" s="165">
        <v>60</v>
      </c>
      <c r="O61" s="165">
        <f t="shared" si="53"/>
        <v>180</v>
      </c>
      <c r="P61" s="166">
        <f t="shared" si="54"/>
        <v>2160</v>
      </c>
      <c r="Q61" s="105"/>
      <c r="R61" s="108">
        <f>+'Schedule 9'!D57</f>
        <v>6.47</v>
      </c>
      <c r="S61" s="166">
        <f t="shared" si="55"/>
        <v>3</v>
      </c>
      <c r="T61" s="138">
        <f t="shared" si="56"/>
        <v>232.92000000000002</v>
      </c>
      <c r="U61" s="165">
        <f t="shared" si="57"/>
        <v>-73.079999999999984</v>
      </c>
    </row>
    <row r="62" spans="1:21" ht="15.75">
      <c r="A62" s="272" t="s">
        <v>602</v>
      </c>
      <c r="B62" s="273">
        <f>+'2006 Stlgt Rates'!F43</f>
        <v>23.46</v>
      </c>
      <c r="C62" s="224">
        <f>+'Schedule 1'!D29</f>
        <v>0</v>
      </c>
      <c r="D62" s="224">
        <f t="shared" si="46"/>
        <v>0</v>
      </c>
      <c r="E62" s="273">
        <f>+'2006 Stlgt Rates'!G43</f>
        <v>1.86</v>
      </c>
      <c r="F62" s="224">
        <f t="shared" si="47"/>
        <v>0</v>
      </c>
      <c r="G62" s="224">
        <f t="shared" si="48"/>
        <v>0</v>
      </c>
      <c r="H62" s="273">
        <f>+'2006 Stlgt Rates'!H43</f>
        <v>-1.0000000000002229E-2</v>
      </c>
      <c r="I62" s="224">
        <f t="shared" si="49"/>
        <v>0</v>
      </c>
      <c r="J62" s="224">
        <f t="shared" si="50"/>
        <v>0</v>
      </c>
      <c r="K62" s="224">
        <f t="shared" si="51"/>
        <v>0</v>
      </c>
      <c r="L62" s="274"/>
      <c r="M62" s="225">
        <f t="shared" si="52"/>
        <v>0</v>
      </c>
      <c r="N62" s="225">
        <v>60</v>
      </c>
      <c r="O62" s="225">
        <f t="shared" si="53"/>
        <v>0</v>
      </c>
      <c r="P62" s="223">
        <f t="shared" si="54"/>
        <v>0</v>
      </c>
      <c r="Q62" s="275"/>
      <c r="R62" s="276">
        <f>+'Schedule 9'!D58</f>
        <v>17.91</v>
      </c>
      <c r="S62" s="223">
        <f t="shared" si="55"/>
        <v>0</v>
      </c>
      <c r="T62" s="224">
        <f t="shared" si="56"/>
        <v>0</v>
      </c>
      <c r="U62" s="225">
        <f t="shared" si="57"/>
        <v>0</v>
      </c>
    </row>
    <row r="63" spans="1:21">
      <c r="A63" s="136" t="s">
        <v>555</v>
      </c>
      <c r="B63" s="141">
        <f>+'2006 Stlgt Rates'!F39</f>
        <v>6.92</v>
      </c>
      <c r="C63" s="138">
        <f>+'Schedule 1'!D30</f>
        <v>1</v>
      </c>
      <c r="D63" s="138">
        <f t="shared" si="46"/>
        <v>83</v>
      </c>
      <c r="E63" s="141">
        <f>+'2006 Stlgt Rates'!G39</f>
        <v>1.86</v>
      </c>
      <c r="F63" s="138">
        <f t="shared" si="47"/>
        <v>1</v>
      </c>
      <c r="G63" s="138">
        <f t="shared" si="48"/>
        <v>22</v>
      </c>
      <c r="H63" s="141">
        <f>+'2006 Stlgt Rates'!H39</f>
        <v>0</v>
      </c>
      <c r="I63" s="138">
        <f t="shared" si="49"/>
        <v>1</v>
      </c>
      <c r="J63" s="138">
        <f t="shared" si="50"/>
        <v>0</v>
      </c>
      <c r="K63" s="138">
        <f t="shared" si="51"/>
        <v>105</v>
      </c>
      <c r="M63" s="165">
        <f t="shared" si="52"/>
        <v>1</v>
      </c>
      <c r="N63" s="165">
        <v>49</v>
      </c>
      <c r="O63" s="165">
        <f t="shared" si="53"/>
        <v>49</v>
      </c>
      <c r="P63" s="166">
        <f t="shared" si="54"/>
        <v>588</v>
      </c>
      <c r="Q63" s="105"/>
      <c r="R63" s="108">
        <f>+'Schedule 9'!D59</f>
        <v>5.29</v>
      </c>
      <c r="S63" s="166">
        <f t="shared" si="55"/>
        <v>1</v>
      </c>
      <c r="T63" s="138">
        <f t="shared" si="56"/>
        <v>63.480000000000004</v>
      </c>
      <c r="U63" s="165">
        <f t="shared" si="57"/>
        <v>-19.519999999999996</v>
      </c>
    </row>
    <row r="64" spans="1:21">
      <c r="A64" s="156" t="s">
        <v>556</v>
      </c>
      <c r="B64" s="157">
        <f>+'2006 Stlgt Rates'!F41</f>
        <v>11.99</v>
      </c>
      <c r="C64" s="138">
        <f>+'Schedule 1'!D32</f>
        <v>0</v>
      </c>
      <c r="D64" s="138">
        <f t="shared" si="46"/>
        <v>0</v>
      </c>
      <c r="E64" s="157">
        <f>+'2006 Stlgt Rates'!G41</f>
        <v>1.86</v>
      </c>
      <c r="F64" s="138">
        <f t="shared" si="47"/>
        <v>0</v>
      </c>
      <c r="G64" s="138">
        <f t="shared" si="48"/>
        <v>0</v>
      </c>
      <c r="H64" s="157">
        <f>+'2006 Stlgt Rates'!H41</f>
        <v>0</v>
      </c>
      <c r="I64" s="138">
        <f t="shared" si="49"/>
        <v>0</v>
      </c>
      <c r="J64" s="138">
        <f t="shared" si="50"/>
        <v>0</v>
      </c>
      <c r="K64" s="138">
        <f t="shared" si="51"/>
        <v>0</v>
      </c>
      <c r="L64" s="79"/>
      <c r="M64" s="165">
        <f t="shared" si="52"/>
        <v>0</v>
      </c>
      <c r="N64" s="159">
        <v>85</v>
      </c>
      <c r="O64" s="165">
        <f t="shared" si="53"/>
        <v>0</v>
      </c>
      <c r="P64" s="166">
        <f t="shared" si="54"/>
        <v>0</v>
      </c>
      <c r="Q64" s="79"/>
      <c r="R64" s="108">
        <f>+'Schedule 9'!D60</f>
        <v>9.17</v>
      </c>
      <c r="S64" s="166">
        <f t="shared" si="55"/>
        <v>0</v>
      </c>
      <c r="T64" s="138">
        <f t="shared" si="56"/>
        <v>0</v>
      </c>
      <c r="U64" s="165">
        <f t="shared" si="57"/>
        <v>0</v>
      </c>
    </row>
    <row r="65" spans="1:21">
      <c r="A65" s="156"/>
      <c r="B65" s="157"/>
      <c r="C65" s="138"/>
      <c r="D65" s="158"/>
      <c r="E65" s="157"/>
      <c r="F65" s="158"/>
      <c r="G65" s="158"/>
      <c r="H65" s="157"/>
      <c r="I65" s="158"/>
      <c r="J65" s="158"/>
      <c r="K65" s="158"/>
      <c r="L65" s="79"/>
      <c r="M65" s="159"/>
      <c r="N65" s="159"/>
      <c r="O65" s="159"/>
      <c r="P65" s="160"/>
      <c r="Q65" s="79"/>
      <c r="R65" s="82"/>
      <c r="S65" s="160"/>
      <c r="T65" s="158"/>
      <c r="U65" s="159"/>
    </row>
    <row r="66" spans="1:21">
      <c r="A66" s="142" t="s">
        <v>557</v>
      </c>
      <c r="B66" s="143">
        <f>+'2006 Stlgt Rates'!F134</f>
        <v>5.0617600000000005</v>
      </c>
      <c r="C66" s="144">
        <f>+'Schedule 1'!E32</f>
        <v>2</v>
      </c>
      <c r="D66" s="144">
        <f>ROUND(B66*C66*12,0)</f>
        <v>121</v>
      </c>
      <c r="E66" s="143">
        <f>+'2006 Stlgt Rates'!G134</f>
        <v>0</v>
      </c>
      <c r="F66" s="144">
        <f>+C66</f>
        <v>2</v>
      </c>
      <c r="G66" s="144">
        <f>ROUND(E66*F66*12,0)</f>
        <v>0</v>
      </c>
      <c r="H66" s="143">
        <f>+'2006 Stlgt Rates'!H134</f>
        <v>0</v>
      </c>
      <c r="I66" s="144">
        <f>+F66</f>
        <v>2</v>
      </c>
      <c r="J66" s="144">
        <f>ROUND(H66*I66*12,0)</f>
        <v>0</v>
      </c>
      <c r="K66" s="144">
        <f>+D66+G66+J66</f>
        <v>121</v>
      </c>
      <c r="M66" s="145">
        <f>+I66</f>
        <v>2</v>
      </c>
      <c r="N66" s="145">
        <v>47</v>
      </c>
      <c r="O66" s="145">
        <f>M66*N66</f>
        <v>94</v>
      </c>
      <c r="P66" s="146">
        <f>O66*12</f>
        <v>1128</v>
      </c>
      <c r="Q66" s="105"/>
      <c r="R66" s="97">
        <f>+'Schedule 9'!D62</f>
        <v>5.07</v>
      </c>
      <c r="S66" s="223">
        <f>+M66</f>
        <v>2</v>
      </c>
      <c r="T66" s="224">
        <f>R66*S66*12</f>
        <v>121.68</v>
      </c>
      <c r="U66" s="225">
        <f>T66-D66</f>
        <v>0.68000000000000682</v>
      </c>
    </row>
    <row r="67" spans="1:21">
      <c r="A67" s="142"/>
      <c r="B67" s="143"/>
      <c r="C67" s="144"/>
      <c r="D67" s="144"/>
      <c r="E67" s="143"/>
      <c r="F67" s="144"/>
      <c r="G67" s="144"/>
      <c r="H67" s="143"/>
      <c r="I67" s="144"/>
      <c r="J67" s="144"/>
      <c r="K67" s="144"/>
      <c r="M67" s="145"/>
      <c r="N67" s="145"/>
      <c r="O67" s="145"/>
      <c r="P67" s="146"/>
      <c r="Q67" s="105"/>
      <c r="R67" s="97"/>
      <c r="S67" s="146"/>
      <c r="T67" s="153"/>
      <c r="U67" s="145"/>
    </row>
    <row r="68" spans="1:21">
      <c r="A68" s="154" t="s">
        <v>33</v>
      </c>
      <c r="B68" s="141"/>
      <c r="C68" s="161">
        <f>SUM(C51:C67)</f>
        <v>1190</v>
      </c>
      <c r="D68" s="161">
        <f>SUM(D51:D67)</f>
        <v>91304</v>
      </c>
      <c r="E68" s="141"/>
      <c r="F68" s="161">
        <f>SUM(F51:F67)</f>
        <v>1190</v>
      </c>
      <c r="G68" s="161">
        <f>SUM(G51:G67)</f>
        <v>26517</v>
      </c>
      <c r="H68" s="141"/>
      <c r="I68" s="161">
        <f>SUM(I51:I67)</f>
        <v>1190</v>
      </c>
      <c r="J68" s="161">
        <f>SUM(J51:J67)</f>
        <v>60216</v>
      </c>
      <c r="K68" s="161">
        <f>SUM(K51:K67)</f>
        <v>178037</v>
      </c>
      <c r="M68" s="165">
        <f>SUM(M51:M67)</f>
        <v>1190</v>
      </c>
      <c r="N68" s="165"/>
      <c r="O68" s="165">
        <f>SUM(O51:O67)</f>
        <v>53845</v>
      </c>
      <c r="P68" s="165">
        <f>SUM(P51:P67)</f>
        <v>646140</v>
      </c>
      <c r="Q68" s="105"/>
      <c r="R68" s="108"/>
      <c r="S68" s="162">
        <f>SUM(S51:S67)</f>
        <v>1190</v>
      </c>
      <c r="T68" s="162">
        <f>SUM(T51:T67)</f>
        <v>69741.959999999977</v>
      </c>
      <c r="U68" s="152">
        <f>SUM(U51:U67)</f>
        <v>-21562.04</v>
      </c>
    </row>
    <row r="69" spans="1:21">
      <c r="A69" s="126"/>
      <c r="B69" s="141"/>
      <c r="C69" s="138"/>
      <c r="D69" s="138"/>
      <c r="E69" s="141"/>
      <c r="F69" s="138"/>
      <c r="G69" s="138"/>
      <c r="H69" s="141"/>
      <c r="I69" s="138"/>
      <c r="J69" s="138"/>
      <c r="K69" s="138"/>
      <c r="M69" s="165"/>
      <c r="N69" s="165"/>
      <c r="O69" s="105"/>
      <c r="P69" s="105"/>
      <c r="Q69" s="105"/>
      <c r="R69" s="108"/>
      <c r="S69" s="105"/>
      <c r="T69" s="105"/>
      <c r="U69" s="165"/>
    </row>
    <row r="70" spans="1:21">
      <c r="A70" s="154" t="s">
        <v>558</v>
      </c>
      <c r="B70" s="141"/>
      <c r="C70" s="138"/>
      <c r="D70" s="138"/>
      <c r="E70" s="141"/>
      <c r="F70" s="138"/>
      <c r="G70" s="138"/>
      <c r="H70" s="141"/>
      <c r="I70" s="138"/>
      <c r="J70" s="138"/>
      <c r="K70" s="138"/>
      <c r="M70" s="165"/>
      <c r="N70" s="165"/>
      <c r="O70" s="105"/>
      <c r="P70" s="105"/>
      <c r="Q70" s="105"/>
      <c r="R70" s="108"/>
      <c r="S70" s="105"/>
      <c r="T70" s="105"/>
      <c r="U70" s="165"/>
    </row>
    <row r="71" spans="1:21">
      <c r="A71" s="126"/>
      <c r="B71" s="141"/>
      <c r="C71" s="138"/>
      <c r="D71" s="138"/>
      <c r="E71" s="141"/>
      <c r="F71" s="138"/>
      <c r="G71" s="138"/>
      <c r="H71" s="141"/>
      <c r="I71" s="138"/>
      <c r="J71" s="138"/>
      <c r="K71" s="138"/>
      <c r="M71" s="165"/>
      <c r="N71" s="165"/>
      <c r="O71" s="105"/>
      <c r="P71" s="105"/>
      <c r="Q71" s="105"/>
      <c r="R71" s="108"/>
      <c r="S71" s="105"/>
      <c r="T71" s="105"/>
      <c r="U71" s="165"/>
    </row>
    <row r="72" spans="1:21">
      <c r="A72" s="136" t="s">
        <v>559</v>
      </c>
      <c r="B72" s="141">
        <f>+'2006 Stlgt Rates'!F60</f>
        <v>51.15</v>
      </c>
      <c r="C72" s="138">
        <f>+'Schedule 1'!E36</f>
        <v>2</v>
      </c>
      <c r="D72" s="138">
        <f>ROUND(B72*C72*12,0)</f>
        <v>1228</v>
      </c>
      <c r="E72" s="141">
        <v>0</v>
      </c>
      <c r="F72" s="138">
        <f>+C72</f>
        <v>2</v>
      </c>
      <c r="G72" s="138">
        <f>ROUND(E72*F72*12,0)</f>
        <v>0</v>
      </c>
      <c r="H72" s="141">
        <f>+'2006 Stlgt Rates'!H60</f>
        <v>0</v>
      </c>
      <c r="I72" s="138">
        <f>+F72</f>
        <v>2</v>
      </c>
      <c r="J72" s="138">
        <f>ROUND(H72*I72*12,0)</f>
        <v>0</v>
      </c>
      <c r="K72" s="138">
        <f>+D72+G72+J72</f>
        <v>1228</v>
      </c>
      <c r="M72" s="165">
        <f>+I72</f>
        <v>2</v>
      </c>
      <c r="N72" s="165">
        <v>486</v>
      </c>
      <c r="O72" s="165">
        <f>M72*N72</f>
        <v>972</v>
      </c>
      <c r="P72" s="166">
        <f>O72*12</f>
        <v>11664</v>
      </c>
      <c r="Q72" s="105"/>
      <c r="R72" s="108">
        <f>+'Schedule 9'!D70</f>
        <v>40.631057999999996</v>
      </c>
      <c r="S72" s="166">
        <f>+M72</f>
        <v>2</v>
      </c>
      <c r="T72" s="138">
        <f>R72*S72*12</f>
        <v>975.1453919999999</v>
      </c>
      <c r="U72" s="165">
        <f>T72-D72</f>
        <v>-252.8546080000001</v>
      </c>
    </row>
    <row r="73" spans="1:21">
      <c r="A73" s="136" t="s">
        <v>560</v>
      </c>
      <c r="B73" s="141">
        <f>+'2006 Stlgt Rates'!F58</f>
        <v>6.96</v>
      </c>
      <c r="C73" s="138">
        <f>+'Schedule 1'!E37</f>
        <v>17</v>
      </c>
      <c r="D73" s="138">
        <f>ROUND(B73*C73*12,0)</f>
        <v>1420</v>
      </c>
      <c r="E73" s="141">
        <v>0</v>
      </c>
      <c r="F73" s="138">
        <f>+C73</f>
        <v>17</v>
      </c>
      <c r="G73" s="138">
        <f>ROUND(E73*F73*12,0)</f>
        <v>0</v>
      </c>
      <c r="H73" s="141">
        <f>+'2006 Stlgt Rates'!H58</f>
        <v>0</v>
      </c>
      <c r="I73" s="138">
        <f>+F73</f>
        <v>17</v>
      </c>
      <c r="J73" s="138">
        <f>ROUND(H73*I73*12,0)</f>
        <v>0</v>
      </c>
      <c r="K73" s="138">
        <f>+D73+G73+J73</f>
        <v>1420</v>
      </c>
      <c r="M73" s="165">
        <f>+I73</f>
        <v>17</v>
      </c>
      <c r="N73" s="165">
        <v>66</v>
      </c>
      <c r="O73" s="165">
        <f>M73*N73</f>
        <v>1122</v>
      </c>
      <c r="P73" s="166">
        <f>O73*12</f>
        <v>13464</v>
      </c>
      <c r="Q73" s="105"/>
      <c r="R73" s="108">
        <f>+'Schedule 9'!D68</f>
        <v>5.517798</v>
      </c>
      <c r="S73" s="166">
        <f>+M73</f>
        <v>17</v>
      </c>
      <c r="T73" s="138">
        <f>R73*S73*12</f>
        <v>1125.6307919999999</v>
      </c>
      <c r="U73" s="165">
        <f>T73-D73</f>
        <v>-294.36920800000007</v>
      </c>
    </row>
    <row r="74" spans="1:21">
      <c r="A74" s="136" t="s">
        <v>561</v>
      </c>
      <c r="B74" s="141">
        <f>+'2006 Stlgt Rates'!F59</f>
        <v>38.31</v>
      </c>
      <c r="C74" s="138">
        <f>+'Schedule 1'!E38</f>
        <v>21</v>
      </c>
      <c r="D74" s="138">
        <f>ROUND(B74*C74*12,0)</f>
        <v>9654</v>
      </c>
      <c r="E74" s="141">
        <v>0</v>
      </c>
      <c r="F74" s="138">
        <f>+C74</f>
        <v>21</v>
      </c>
      <c r="G74" s="138">
        <f>ROUND(E74*F74*12,0)</f>
        <v>0</v>
      </c>
      <c r="H74" s="141">
        <f>+'2006 Stlgt Rates'!H59</f>
        <v>0</v>
      </c>
      <c r="I74" s="138">
        <f>+F74</f>
        <v>21</v>
      </c>
      <c r="J74" s="138">
        <f>ROUND(H74*I74*12,0)</f>
        <v>0</v>
      </c>
      <c r="K74" s="138">
        <f>+D74+G74+J74</f>
        <v>9654</v>
      </c>
      <c r="M74" s="165">
        <f>+I74</f>
        <v>21</v>
      </c>
      <c r="N74" s="165">
        <v>364</v>
      </c>
      <c r="O74" s="165">
        <f>M74*N74</f>
        <v>7644</v>
      </c>
      <c r="P74" s="166">
        <f>O74*12</f>
        <v>91728</v>
      </c>
      <c r="Q74" s="105"/>
      <c r="R74" s="108">
        <f>+'Schedule 9'!D69</f>
        <v>30.431491999999999</v>
      </c>
      <c r="S74" s="166">
        <f>+M74</f>
        <v>21</v>
      </c>
      <c r="T74" s="138">
        <f>R74*S74*12</f>
        <v>7668.7359839999999</v>
      </c>
      <c r="U74" s="165">
        <f>T74-D74</f>
        <v>-1985.2640160000001</v>
      </c>
    </row>
    <row r="75" spans="1:21">
      <c r="A75" s="136" t="s">
        <v>562</v>
      </c>
      <c r="B75" s="141">
        <f>+'2006 Stlgt Rates'!F61</f>
        <v>26.74</v>
      </c>
      <c r="C75" s="138">
        <f>+'Schedule 1'!E39</f>
        <v>29</v>
      </c>
      <c r="D75" s="138">
        <f>ROUND(B75*C75*12,0)</f>
        <v>9306</v>
      </c>
      <c r="E75" s="141">
        <v>0</v>
      </c>
      <c r="F75" s="138">
        <f>+C75</f>
        <v>29</v>
      </c>
      <c r="G75" s="138">
        <f>ROUND(E75*F75*12,0)</f>
        <v>0</v>
      </c>
      <c r="H75" s="141">
        <f>+'2006 Stlgt Rates'!H61</f>
        <v>0</v>
      </c>
      <c r="I75" s="138">
        <f>+F75</f>
        <v>29</v>
      </c>
      <c r="J75" s="138">
        <f>ROUND(H75*I75*12,0)</f>
        <v>0</v>
      </c>
      <c r="K75" s="138">
        <f>+D75+G75+J75</f>
        <v>9306</v>
      </c>
      <c r="M75" s="165">
        <f>+I75</f>
        <v>29</v>
      </c>
      <c r="N75" s="165">
        <v>254</v>
      </c>
      <c r="O75" s="165">
        <f>M75*N75</f>
        <v>7366</v>
      </c>
      <c r="P75" s="166">
        <f>O75*12</f>
        <v>88392</v>
      </c>
      <c r="Q75" s="105"/>
      <c r="R75" s="108">
        <f>+'Schedule 9'!D71</f>
        <v>21.235161999999999</v>
      </c>
      <c r="S75" s="166">
        <f>+M75</f>
        <v>29</v>
      </c>
      <c r="T75" s="138">
        <f>R75*S75*12</f>
        <v>7389.8363760000002</v>
      </c>
      <c r="U75" s="165">
        <f>T75-D75</f>
        <v>-1916.1636239999998</v>
      </c>
    </row>
    <row r="76" spans="1:21">
      <c r="A76" s="136" t="s">
        <v>563</v>
      </c>
      <c r="B76" s="141">
        <f>+'2006 Stlgt Rates'!F62</f>
        <v>64.52</v>
      </c>
      <c r="C76" s="138">
        <f>+'Schedule 1'!E40</f>
        <v>23</v>
      </c>
      <c r="D76" s="138">
        <f>ROUND(B76*C76*12,0)</f>
        <v>17808</v>
      </c>
      <c r="E76" s="141">
        <v>0</v>
      </c>
      <c r="F76" s="138">
        <f>+C76</f>
        <v>23</v>
      </c>
      <c r="G76" s="138">
        <f>ROUND(E76*F76*12,0)</f>
        <v>0</v>
      </c>
      <c r="H76" s="141">
        <f>+'2006 Stlgt Rates'!H62</f>
        <v>0</v>
      </c>
      <c r="I76" s="138">
        <f>+F76</f>
        <v>23</v>
      </c>
      <c r="J76" s="138">
        <f>ROUND(H76*I76*12,0)</f>
        <v>0</v>
      </c>
      <c r="K76" s="138">
        <f>+D76+G76+J76</f>
        <v>17808</v>
      </c>
      <c r="M76" s="165">
        <f>+I76</f>
        <v>23</v>
      </c>
      <c r="N76" s="165">
        <v>613</v>
      </c>
      <c r="O76" s="165">
        <f>M76*N76</f>
        <v>14099</v>
      </c>
      <c r="P76" s="166">
        <f>O76*12</f>
        <v>169188</v>
      </c>
      <c r="Q76" s="105"/>
      <c r="R76" s="108">
        <f>+'Schedule 9'!D72</f>
        <v>51.248638999999997</v>
      </c>
      <c r="S76" s="166">
        <f>+M76</f>
        <v>23</v>
      </c>
      <c r="T76" s="138">
        <f>R76*S76*12</f>
        <v>14144.624363999999</v>
      </c>
      <c r="U76" s="165">
        <f>T76-D76</f>
        <v>-3663.3756360000007</v>
      </c>
    </row>
    <row r="77" spans="1:21">
      <c r="A77" s="126"/>
      <c r="B77" s="141"/>
      <c r="C77" s="138"/>
      <c r="D77" s="138"/>
      <c r="E77" s="141"/>
      <c r="F77" s="138"/>
      <c r="G77" s="138"/>
      <c r="H77" s="141"/>
      <c r="I77" s="138"/>
      <c r="J77" s="138"/>
      <c r="K77" s="138"/>
      <c r="M77" s="165"/>
      <c r="N77" s="165"/>
      <c r="O77" s="105"/>
      <c r="P77" s="105"/>
      <c r="Q77" s="105"/>
      <c r="R77" s="108"/>
      <c r="S77" s="105"/>
      <c r="T77" s="105"/>
      <c r="U77" s="165"/>
    </row>
    <row r="78" spans="1:21">
      <c r="A78" s="136" t="s">
        <v>564</v>
      </c>
      <c r="B78" s="141">
        <f>+'2006 Stlgt Rates'!F68</f>
        <v>4.25</v>
      </c>
      <c r="C78" s="138">
        <f>+'Schedule 1'!E43</f>
        <v>1</v>
      </c>
      <c r="D78" s="138">
        <f t="shared" ref="D78:D84" si="58">ROUND(B78*C78*12,0)</f>
        <v>51</v>
      </c>
      <c r="E78" s="141">
        <v>0</v>
      </c>
      <c r="F78" s="138">
        <f t="shared" ref="F78:F84" si="59">+C78</f>
        <v>1</v>
      </c>
      <c r="G78" s="138">
        <f t="shared" ref="G78:G84" si="60">ROUND(E78*F78*12,0)</f>
        <v>0</v>
      </c>
      <c r="H78" s="141">
        <f>+'2006 Stlgt Rates'!H68</f>
        <v>0</v>
      </c>
      <c r="I78" s="138">
        <f t="shared" ref="I78:I84" si="61">+F78</f>
        <v>1</v>
      </c>
      <c r="J78" s="138">
        <f t="shared" ref="J78:J84" si="62">ROUND(H78*I78*12,0)</f>
        <v>0</v>
      </c>
      <c r="K78" s="138">
        <f t="shared" ref="K78:K84" si="63">+D78+G78+J78</f>
        <v>51</v>
      </c>
      <c r="M78" s="165">
        <f t="shared" ref="M78:M84" si="64">+I78</f>
        <v>1</v>
      </c>
      <c r="N78" s="165">
        <v>30</v>
      </c>
      <c r="O78" s="165">
        <f t="shared" ref="O78:O84" si="65">M78*N78</f>
        <v>30</v>
      </c>
      <c r="P78" s="166">
        <f t="shared" ref="P78:P84" si="66">O78*12</f>
        <v>360</v>
      </c>
      <c r="Q78" s="105"/>
      <c r="R78" s="108">
        <f>+'Schedule 9'!D77</f>
        <v>3.24</v>
      </c>
      <c r="S78" s="166">
        <f t="shared" ref="S78:S83" si="67">+M78</f>
        <v>1</v>
      </c>
      <c r="T78" s="138">
        <f t="shared" ref="T78:T83" si="68">R78*S78*12</f>
        <v>38.880000000000003</v>
      </c>
      <c r="U78" s="165">
        <f t="shared" ref="U78:U83" si="69">T78-D78</f>
        <v>-12.119999999999997</v>
      </c>
    </row>
    <row r="79" spans="1:21">
      <c r="A79" s="136" t="s">
        <v>565</v>
      </c>
      <c r="B79" s="141">
        <f>+'2006 Stlgt Rates'!F69</f>
        <v>23.46</v>
      </c>
      <c r="C79" s="138">
        <v>5</v>
      </c>
      <c r="D79" s="138">
        <f t="shared" si="58"/>
        <v>1408</v>
      </c>
      <c r="E79" s="141">
        <v>0</v>
      </c>
      <c r="F79" s="138">
        <f t="shared" si="59"/>
        <v>5</v>
      </c>
      <c r="G79" s="138">
        <f t="shared" si="60"/>
        <v>0</v>
      </c>
      <c r="H79" s="141">
        <f>+'2006 Stlgt Rates'!H69</f>
        <v>0</v>
      </c>
      <c r="I79" s="138">
        <f t="shared" si="61"/>
        <v>5</v>
      </c>
      <c r="J79" s="138">
        <f t="shared" si="62"/>
        <v>0</v>
      </c>
      <c r="K79" s="138">
        <f t="shared" si="63"/>
        <v>1408</v>
      </c>
      <c r="M79" s="165">
        <f t="shared" si="64"/>
        <v>5</v>
      </c>
      <c r="N79" s="165">
        <v>166</v>
      </c>
      <c r="O79" s="165">
        <f t="shared" si="65"/>
        <v>830</v>
      </c>
      <c r="P79" s="166">
        <f t="shared" si="66"/>
        <v>9960</v>
      </c>
      <c r="Q79" s="105"/>
      <c r="R79" s="108">
        <f>+'Schedule 9'!D78</f>
        <v>17.91</v>
      </c>
      <c r="S79" s="166">
        <f t="shared" si="67"/>
        <v>5</v>
      </c>
      <c r="T79" s="138">
        <f t="shared" si="68"/>
        <v>1074.5999999999999</v>
      </c>
      <c r="U79" s="165">
        <f t="shared" si="69"/>
        <v>-333.40000000000009</v>
      </c>
    </row>
    <row r="80" spans="1:21">
      <c r="A80" s="136" t="s">
        <v>566</v>
      </c>
      <c r="B80" s="141">
        <f>+'2006 Stlgt Rates'!F71</f>
        <v>16.38</v>
      </c>
      <c r="C80" s="138">
        <f>+'Schedule 1'!E45</f>
        <v>2</v>
      </c>
      <c r="D80" s="138">
        <f t="shared" si="58"/>
        <v>393</v>
      </c>
      <c r="E80" s="141">
        <v>0</v>
      </c>
      <c r="F80" s="138">
        <f t="shared" si="59"/>
        <v>2</v>
      </c>
      <c r="G80" s="138">
        <f t="shared" si="60"/>
        <v>0</v>
      </c>
      <c r="H80" s="141">
        <f>+'2006 Stlgt Rates'!H70</f>
        <v>0</v>
      </c>
      <c r="I80" s="138">
        <f t="shared" si="61"/>
        <v>2</v>
      </c>
      <c r="J80" s="138">
        <f t="shared" si="62"/>
        <v>0</v>
      </c>
      <c r="K80" s="138">
        <f t="shared" si="63"/>
        <v>393</v>
      </c>
      <c r="M80" s="165">
        <f t="shared" si="64"/>
        <v>2</v>
      </c>
      <c r="N80" s="165">
        <v>116</v>
      </c>
      <c r="O80" s="165">
        <f t="shared" si="65"/>
        <v>232</v>
      </c>
      <c r="P80" s="166">
        <f t="shared" si="66"/>
        <v>2784</v>
      </c>
      <c r="Q80" s="105"/>
      <c r="R80" s="108">
        <f>+'Schedule 9'!D80</f>
        <v>12.51</v>
      </c>
      <c r="S80" s="166">
        <f t="shared" si="67"/>
        <v>2</v>
      </c>
      <c r="T80" s="138">
        <f t="shared" si="68"/>
        <v>300.24</v>
      </c>
      <c r="U80" s="165">
        <f t="shared" si="69"/>
        <v>-92.759999999999991</v>
      </c>
    </row>
    <row r="81" spans="1:21">
      <c r="A81" s="136" t="s">
        <v>567</v>
      </c>
      <c r="B81" s="141">
        <f>+'2006 Stlgt Rates'!F70</f>
        <v>31.33</v>
      </c>
      <c r="C81" s="138">
        <f>+'Schedule 1'!E46</f>
        <v>0</v>
      </c>
      <c r="D81" s="138">
        <f t="shared" si="58"/>
        <v>0</v>
      </c>
      <c r="E81" s="141">
        <v>0</v>
      </c>
      <c r="F81" s="138">
        <f t="shared" si="59"/>
        <v>0</v>
      </c>
      <c r="G81" s="138">
        <f t="shared" si="60"/>
        <v>0</v>
      </c>
      <c r="H81" s="141">
        <f>+'2006 Stlgt Rates'!H71</f>
        <v>0</v>
      </c>
      <c r="I81" s="138">
        <f t="shared" si="61"/>
        <v>0</v>
      </c>
      <c r="J81" s="138">
        <f t="shared" si="62"/>
        <v>0</v>
      </c>
      <c r="K81" s="138">
        <f t="shared" si="63"/>
        <v>0</v>
      </c>
      <c r="M81" s="165">
        <f t="shared" si="64"/>
        <v>0</v>
      </c>
      <c r="N81" s="165">
        <v>222</v>
      </c>
      <c r="O81" s="165">
        <f t="shared" si="65"/>
        <v>0</v>
      </c>
      <c r="P81" s="166">
        <f t="shared" si="66"/>
        <v>0</v>
      </c>
      <c r="Q81" s="105"/>
      <c r="R81" s="108">
        <f>+'Schedule 9'!D79</f>
        <v>23.95</v>
      </c>
      <c r="S81" s="166">
        <f t="shared" si="67"/>
        <v>0</v>
      </c>
      <c r="T81" s="138">
        <f t="shared" si="68"/>
        <v>0</v>
      </c>
      <c r="U81" s="165">
        <f t="shared" si="69"/>
        <v>0</v>
      </c>
    </row>
    <row r="82" spans="1:21">
      <c r="A82" s="142" t="s">
        <v>568</v>
      </c>
      <c r="B82" s="143">
        <f>+'2006 Stlgt Rates'!F140</f>
        <v>5.0734880000000002</v>
      </c>
      <c r="C82" s="153">
        <f>+'Schedule 1'!E47</f>
        <v>25</v>
      </c>
      <c r="D82" s="153">
        <f t="shared" si="58"/>
        <v>1522</v>
      </c>
      <c r="E82" s="143">
        <v>0</v>
      </c>
      <c r="F82" s="153">
        <f t="shared" si="59"/>
        <v>25</v>
      </c>
      <c r="G82" s="153">
        <f t="shared" si="60"/>
        <v>0</v>
      </c>
      <c r="H82" s="143">
        <v>0</v>
      </c>
      <c r="I82" s="153">
        <f t="shared" si="61"/>
        <v>25</v>
      </c>
      <c r="J82" s="153">
        <f t="shared" si="62"/>
        <v>0</v>
      </c>
      <c r="K82" s="153">
        <f t="shared" si="63"/>
        <v>1522</v>
      </c>
      <c r="M82" s="145">
        <f t="shared" si="64"/>
        <v>25</v>
      </c>
      <c r="N82" s="145">
        <v>47</v>
      </c>
      <c r="O82" s="145">
        <f t="shared" si="65"/>
        <v>1175</v>
      </c>
      <c r="P82" s="146">
        <f t="shared" si="66"/>
        <v>14100</v>
      </c>
      <c r="Q82" s="105"/>
      <c r="R82" s="97">
        <f>+'Schedule 9'!D81</f>
        <v>5.07</v>
      </c>
      <c r="S82" s="223">
        <f t="shared" si="67"/>
        <v>25</v>
      </c>
      <c r="T82" s="224">
        <f t="shared" si="68"/>
        <v>1521</v>
      </c>
      <c r="U82" s="225">
        <f t="shared" si="69"/>
        <v>-1</v>
      </c>
    </row>
    <row r="83" spans="1:21">
      <c r="A83" s="142" t="s">
        <v>569</v>
      </c>
      <c r="B83" s="143">
        <f>+'2006 Stlgt Rates'!F141</f>
        <v>6.4749439999999998</v>
      </c>
      <c r="C83" s="153">
        <f>+'Schedule 1'!E48</f>
        <v>0</v>
      </c>
      <c r="D83" s="153">
        <f t="shared" si="58"/>
        <v>0</v>
      </c>
      <c r="E83" s="143">
        <v>0</v>
      </c>
      <c r="F83" s="153">
        <f t="shared" si="59"/>
        <v>0</v>
      </c>
      <c r="G83" s="153">
        <f t="shared" si="60"/>
        <v>0</v>
      </c>
      <c r="H83" s="143">
        <v>0</v>
      </c>
      <c r="I83" s="153">
        <f t="shared" si="61"/>
        <v>0</v>
      </c>
      <c r="J83" s="153">
        <f t="shared" si="62"/>
        <v>0</v>
      </c>
      <c r="K83" s="153">
        <f t="shared" si="63"/>
        <v>0</v>
      </c>
      <c r="M83" s="145">
        <f t="shared" si="64"/>
        <v>0</v>
      </c>
      <c r="N83" s="145">
        <v>60</v>
      </c>
      <c r="O83" s="145">
        <f t="shared" si="65"/>
        <v>0</v>
      </c>
      <c r="P83" s="146">
        <f t="shared" si="66"/>
        <v>0</v>
      </c>
      <c r="Q83" s="105"/>
      <c r="R83" s="97">
        <f>+'Schedule 9'!D82</f>
        <v>6.47</v>
      </c>
      <c r="S83" s="223">
        <f t="shared" si="67"/>
        <v>0</v>
      </c>
      <c r="T83" s="224">
        <f t="shared" si="68"/>
        <v>0</v>
      </c>
      <c r="U83" s="225">
        <f t="shared" si="69"/>
        <v>0</v>
      </c>
    </row>
    <row r="84" spans="1:21">
      <c r="A84" s="136" t="s">
        <v>570</v>
      </c>
      <c r="B84" s="141">
        <f>+'2006 Stlgt Rates'!F72</f>
        <v>39.51</v>
      </c>
      <c r="C84" s="163">
        <f>+'Schedule 1'!E33</f>
        <v>78</v>
      </c>
      <c r="D84" s="163">
        <f t="shared" si="58"/>
        <v>36981</v>
      </c>
      <c r="E84" s="141">
        <v>0</v>
      </c>
      <c r="F84" s="163">
        <f t="shared" si="59"/>
        <v>78</v>
      </c>
      <c r="G84" s="163">
        <f t="shared" si="60"/>
        <v>0</v>
      </c>
      <c r="H84" s="141">
        <f>+'2006 Stlgt Rates'!H72</f>
        <v>0</v>
      </c>
      <c r="I84" s="163">
        <f t="shared" si="61"/>
        <v>78</v>
      </c>
      <c r="J84" s="163">
        <f t="shared" si="62"/>
        <v>0</v>
      </c>
      <c r="K84" s="163">
        <f t="shared" si="63"/>
        <v>36981</v>
      </c>
      <c r="M84" s="165">
        <f t="shared" si="64"/>
        <v>78</v>
      </c>
      <c r="N84" s="165">
        <v>280</v>
      </c>
      <c r="O84" s="165">
        <f t="shared" si="65"/>
        <v>21840</v>
      </c>
      <c r="P84" s="166">
        <f t="shared" si="66"/>
        <v>262080</v>
      </c>
      <c r="Q84" s="105"/>
      <c r="R84" s="108">
        <f>+'Schedule 9'!D83</f>
        <v>30.21</v>
      </c>
      <c r="S84" s="166">
        <f>+M84</f>
        <v>78</v>
      </c>
      <c r="T84" s="138">
        <f>R84*S84*12</f>
        <v>28276.560000000001</v>
      </c>
      <c r="U84" s="165">
        <f>T84-D84</f>
        <v>-8704.4399999999987</v>
      </c>
    </row>
    <row r="85" spans="1:21">
      <c r="A85" s="126"/>
      <c r="B85" s="141"/>
      <c r="C85" s="138"/>
      <c r="D85" s="138"/>
      <c r="E85" s="141"/>
      <c r="F85" s="138"/>
      <c r="G85" s="138"/>
      <c r="H85" s="141"/>
      <c r="I85" s="138"/>
      <c r="J85" s="138"/>
      <c r="K85" s="138"/>
      <c r="M85" s="165"/>
      <c r="N85" s="165"/>
      <c r="O85" s="105"/>
      <c r="P85" s="105"/>
      <c r="Q85" s="105"/>
      <c r="R85" s="108"/>
      <c r="S85" s="105"/>
      <c r="T85" s="105"/>
      <c r="U85" s="165"/>
    </row>
    <row r="86" spans="1:21">
      <c r="A86" s="154" t="s">
        <v>33</v>
      </c>
      <c r="B86" s="141"/>
      <c r="C86" s="161">
        <f>SUM(C72:C85)</f>
        <v>203</v>
      </c>
      <c r="D86" s="161">
        <f>SUM(D72:D85)</f>
        <v>79771</v>
      </c>
      <c r="E86" s="141"/>
      <c r="F86" s="161">
        <f>SUM(F72:F85)</f>
        <v>203</v>
      </c>
      <c r="G86" s="161">
        <f>SUM(G72:G85)</f>
        <v>0</v>
      </c>
      <c r="H86" s="141"/>
      <c r="I86" s="161">
        <f>SUM(I72:I85)</f>
        <v>203</v>
      </c>
      <c r="J86" s="161">
        <f>SUM(J72:J85)</f>
        <v>0</v>
      </c>
      <c r="K86" s="161">
        <f>SUM(K72:K84)</f>
        <v>79771</v>
      </c>
      <c r="M86" s="165">
        <f>SUM(M72:M85)</f>
        <v>203</v>
      </c>
      <c r="N86" s="165"/>
      <c r="O86" s="165">
        <f>SUM(O72:O85)</f>
        <v>55310</v>
      </c>
      <c r="P86" s="165">
        <f>SUM(P72:P85)</f>
        <v>663720</v>
      </c>
      <c r="Q86" s="105"/>
      <c r="R86" s="108"/>
      <c r="S86" s="162">
        <f>SUM(S72:S85)</f>
        <v>203</v>
      </c>
      <c r="T86" s="162">
        <f>SUM(T72:T85)</f>
        <v>62515.252907999995</v>
      </c>
      <c r="U86" s="152">
        <f>SUM(U72:U85)</f>
        <v>-17255.747091999998</v>
      </c>
    </row>
    <row r="87" spans="1:21">
      <c r="A87" s="154"/>
      <c r="B87" s="141"/>
      <c r="C87" s="161"/>
      <c r="D87" s="161"/>
      <c r="E87" s="141"/>
      <c r="F87" s="161"/>
      <c r="G87" s="161"/>
      <c r="H87" s="141"/>
      <c r="I87" s="161"/>
      <c r="J87" s="161"/>
      <c r="K87" s="161"/>
      <c r="M87" s="165"/>
      <c r="N87" s="165"/>
      <c r="O87" s="165"/>
      <c r="P87" s="165"/>
      <c r="Q87" s="105"/>
      <c r="R87" s="108"/>
      <c r="S87" s="105"/>
      <c r="T87" s="105"/>
      <c r="U87" s="165"/>
    </row>
    <row r="88" spans="1:21">
      <c r="A88" s="154" t="s">
        <v>571</v>
      </c>
      <c r="B88" s="141"/>
      <c r="C88" s="138"/>
      <c r="D88" s="138"/>
      <c r="E88" s="141"/>
      <c r="F88" s="138"/>
      <c r="G88" s="138"/>
      <c r="H88" s="141"/>
      <c r="I88" s="138"/>
      <c r="J88" s="138"/>
      <c r="K88" s="138"/>
      <c r="M88" s="165"/>
      <c r="N88" s="165"/>
      <c r="O88" s="105"/>
      <c r="P88" s="105"/>
      <c r="Q88" s="105"/>
      <c r="R88" s="108"/>
      <c r="S88" s="105"/>
      <c r="T88" s="105"/>
      <c r="U88" s="165"/>
    </row>
    <row r="89" spans="1:21">
      <c r="A89" s="126"/>
      <c r="B89" s="141"/>
      <c r="C89" s="138"/>
      <c r="D89" s="138"/>
      <c r="E89" s="141"/>
      <c r="F89" s="138"/>
      <c r="G89" s="138"/>
      <c r="H89" s="141"/>
      <c r="I89" s="138"/>
      <c r="J89" s="138"/>
      <c r="K89" s="138"/>
      <c r="M89" s="165"/>
      <c r="N89" s="165"/>
      <c r="O89" s="105"/>
      <c r="P89" s="105"/>
      <c r="Q89" s="105"/>
      <c r="R89" s="105"/>
      <c r="S89" s="105"/>
      <c r="T89" s="105"/>
      <c r="U89" s="105"/>
    </row>
    <row r="90" spans="1:21">
      <c r="A90" s="136" t="s">
        <v>572</v>
      </c>
      <c r="B90" s="141">
        <f>+'2006 Stlgt Rates'!F78</f>
        <v>6.33</v>
      </c>
      <c r="C90" s="138">
        <f>+'Schedule 1'!C62</f>
        <v>2</v>
      </c>
      <c r="D90" s="138">
        <f>ROUND(B90*C90*12,0)</f>
        <v>152</v>
      </c>
      <c r="E90" s="141">
        <f>+'2006 Stlgt Rates'!G78</f>
        <v>2.35</v>
      </c>
      <c r="F90" s="138">
        <f>+C90</f>
        <v>2</v>
      </c>
      <c r="G90" s="138">
        <f>ROUND(E90*F90*12,0)</f>
        <v>56</v>
      </c>
      <c r="H90" s="141">
        <f>+'2006 Stlgt Rates'!H78</f>
        <v>5.5300000000000011</v>
      </c>
      <c r="I90" s="138">
        <f>+F90</f>
        <v>2</v>
      </c>
      <c r="J90" s="138">
        <f>ROUND(H90*I90*12,0)</f>
        <v>133</v>
      </c>
      <c r="K90" s="138">
        <f>+D90+G90+J90</f>
        <v>341</v>
      </c>
      <c r="M90" s="165">
        <f>+I90</f>
        <v>2</v>
      </c>
      <c r="N90" s="165">
        <v>45</v>
      </c>
      <c r="O90" s="165">
        <f>M90*N90</f>
        <v>90</v>
      </c>
      <c r="P90" s="166">
        <f>O90*12</f>
        <v>1080</v>
      </c>
      <c r="Q90" s="105"/>
      <c r="R90" s="108">
        <f>+'Schedule 9'!D87</f>
        <v>4.8499999999999996</v>
      </c>
      <c r="S90" s="166">
        <f>+M90</f>
        <v>2</v>
      </c>
      <c r="T90" s="138">
        <f>R90*S90*12</f>
        <v>116.39999999999999</v>
      </c>
      <c r="U90" s="165">
        <f>T90-D90</f>
        <v>-35.600000000000009</v>
      </c>
    </row>
    <row r="91" spans="1:21">
      <c r="A91" s="136" t="s">
        <v>573</v>
      </c>
      <c r="B91" s="141">
        <f>+'2006 Stlgt Rates'!F79</f>
        <v>8.4700000000000006</v>
      </c>
      <c r="C91" s="138">
        <f>+'Schedule 1'!C60</f>
        <v>61</v>
      </c>
      <c r="D91" s="138">
        <f>ROUND(B91*C91*12,0)</f>
        <v>6200</v>
      </c>
      <c r="E91" s="141">
        <f>+'2006 Stlgt Rates'!G79</f>
        <v>2.35</v>
      </c>
      <c r="F91" s="138">
        <f>+C91</f>
        <v>61</v>
      </c>
      <c r="G91" s="138">
        <f>ROUND(E91*F91*12,0)</f>
        <v>1720</v>
      </c>
      <c r="H91" s="141">
        <f>+'2006 Stlgt Rates'!H79</f>
        <v>5.5300000000000011</v>
      </c>
      <c r="I91" s="138">
        <f>+F91</f>
        <v>61</v>
      </c>
      <c r="J91" s="138">
        <f>ROUND(H91*I91*12,0)</f>
        <v>4048</v>
      </c>
      <c r="K91" s="138">
        <f>+D91+G91+J91</f>
        <v>11968</v>
      </c>
      <c r="M91" s="165">
        <f>+I91</f>
        <v>61</v>
      </c>
      <c r="N91" s="165">
        <v>60</v>
      </c>
      <c r="O91" s="165">
        <f>M91*N91</f>
        <v>3660</v>
      </c>
      <c r="P91" s="166">
        <f>O91*12</f>
        <v>43920</v>
      </c>
      <c r="Q91" s="105"/>
      <c r="R91" s="108">
        <f>+'Schedule 9'!D88</f>
        <v>6.47</v>
      </c>
      <c r="S91" s="166">
        <f>+M91</f>
        <v>61</v>
      </c>
      <c r="T91" s="138">
        <f>R91*S91*12</f>
        <v>4736.0399999999991</v>
      </c>
      <c r="U91" s="165">
        <f>T91-D91</f>
        <v>-1463.9600000000009</v>
      </c>
    </row>
    <row r="92" spans="1:21">
      <c r="A92" s="136" t="s">
        <v>574</v>
      </c>
      <c r="B92" s="141">
        <f>+'2006 Stlgt Rates'!F80</f>
        <v>11.3</v>
      </c>
      <c r="C92" s="138">
        <f>+'Schedule 1'!C61</f>
        <v>870</v>
      </c>
      <c r="D92" s="138">
        <f>ROUND(B92*C92*12,0)</f>
        <v>117972</v>
      </c>
      <c r="E92" s="141">
        <f>+'2006 Stlgt Rates'!G80</f>
        <v>2.35</v>
      </c>
      <c r="F92" s="138">
        <f>+C92</f>
        <v>870</v>
      </c>
      <c r="G92" s="138">
        <f>ROUND(E92*F92*12,0)</f>
        <v>24534</v>
      </c>
      <c r="H92" s="141">
        <f>+'2006 Stlgt Rates'!H80</f>
        <v>5.5200000000000014</v>
      </c>
      <c r="I92" s="138">
        <f>+F92</f>
        <v>870</v>
      </c>
      <c r="J92" s="138">
        <f>ROUND(H92*I92*12,0)</f>
        <v>57629</v>
      </c>
      <c r="K92" s="138">
        <f>+D92+G92+J92</f>
        <v>200135</v>
      </c>
      <c r="M92" s="165">
        <f>+I92</f>
        <v>870</v>
      </c>
      <c r="N92" s="165">
        <v>80</v>
      </c>
      <c r="O92" s="165">
        <f>M92*N92</f>
        <v>69600</v>
      </c>
      <c r="P92" s="166">
        <f>O92*12</f>
        <v>835200</v>
      </c>
      <c r="Q92" s="105"/>
      <c r="R92" s="108">
        <f>+'Schedule 9'!D89</f>
        <v>8.6300000000000008</v>
      </c>
      <c r="S92" s="166">
        <f>+M92</f>
        <v>870</v>
      </c>
      <c r="T92" s="138">
        <f>R92*S92*12</f>
        <v>90097.200000000012</v>
      </c>
      <c r="U92" s="165">
        <f>T92-D92</f>
        <v>-27874.799999999988</v>
      </c>
    </row>
    <row r="93" spans="1:21">
      <c r="A93" s="126"/>
      <c r="B93" s="141"/>
      <c r="C93" s="138"/>
      <c r="D93" s="138"/>
      <c r="E93" s="141"/>
      <c r="F93" s="138"/>
      <c r="G93" s="138"/>
      <c r="H93" s="141"/>
      <c r="I93" s="138"/>
      <c r="J93" s="138"/>
      <c r="K93" s="138"/>
      <c r="M93" s="165"/>
      <c r="N93" s="165"/>
      <c r="O93" s="105"/>
      <c r="P93" s="105"/>
      <c r="Q93" s="105"/>
      <c r="R93" s="108"/>
      <c r="S93" s="105"/>
      <c r="T93" s="105"/>
      <c r="U93" s="165"/>
    </row>
    <row r="94" spans="1:21">
      <c r="A94" s="136" t="s">
        <v>575</v>
      </c>
      <c r="B94" s="141">
        <f>+'2006 Stlgt Rates'!F81</f>
        <v>11.29</v>
      </c>
      <c r="C94" s="138">
        <f>+'Schedule 1'!D61</f>
        <v>43</v>
      </c>
      <c r="D94" s="138">
        <f>ROUND(B94*C94*12,0)</f>
        <v>5826</v>
      </c>
      <c r="E94" s="141">
        <f>+'2006 Stlgt Rates'!G81</f>
        <v>2.35</v>
      </c>
      <c r="F94" s="138">
        <f>+C94</f>
        <v>43</v>
      </c>
      <c r="G94" s="138">
        <f>ROUND(E94*F94*12,0)</f>
        <v>1213</v>
      </c>
      <c r="H94" s="141">
        <f>+'2006 Stlgt Rates'!H81</f>
        <v>-9.9999999999984546E-3</v>
      </c>
      <c r="I94" s="138">
        <f>+F94</f>
        <v>43</v>
      </c>
      <c r="J94" s="215">
        <f>ROUND(H94*I94*12,0)</f>
        <v>-5</v>
      </c>
      <c r="K94" s="138">
        <f>+D94+G94+J94</f>
        <v>7034</v>
      </c>
      <c r="M94" s="165">
        <f>+I94</f>
        <v>43</v>
      </c>
      <c r="N94" s="165">
        <v>80</v>
      </c>
      <c r="O94" s="165">
        <f>M94*N94</f>
        <v>3440</v>
      </c>
      <c r="P94" s="166">
        <f>O94*12</f>
        <v>41280</v>
      </c>
      <c r="Q94" s="105"/>
      <c r="R94" s="108">
        <f>+'Schedule 9'!D91</f>
        <v>8.6300000000000008</v>
      </c>
      <c r="S94" s="166">
        <f>+M94</f>
        <v>43</v>
      </c>
      <c r="T94" s="138">
        <f>R94*S94*12</f>
        <v>4453.08</v>
      </c>
      <c r="U94" s="165">
        <f>T94-D94</f>
        <v>-1372.92</v>
      </c>
    </row>
    <row r="95" spans="1:21">
      <c r="A95" s="126"/>
      <c r="B95" s="141"/>
      <c r="C95" s="138"/>
      <c r="D95" s="138"/>
      <c r="E95" s="141"/>
      <c r="F95" s="138"/>
      <c r="G95" s="138"/>
      <c r="H95" s="141"/>
      <c r="I95" s="138"/>
      <c r="J95" s="138"/>
      <c r="K95" s="138"/>
      <c r="M95" s="165"/>
      <c r="N95" s="165"/>
      <c r="O95" s="105"/>
      <c r="P95" s="105"/>
      <c r="Q95" s="105"/>
      <c r="R95" s="108"/>
      <c r="S95" s="105"/>
      <c r="T95" s="105"/>
      <c r="U95" s="165"/>
    </row>
    <row r="96" spans="1:21">
      <c r="A96" s="142" t="s">
        <v>576</v>
      </c>
      <c r="B96" s="143">
        <f>+'2006 Stlgt Rates'!F147</f>
        <v>8.6260159999999999</v>
      </c>
      <c r="C96" s="144">
        <f>+'Schedule 1'!E61</f>
        <v>37</v>
      </c>
      <c r="D96" s="144">
        <f>ROUND(B96*C96*12,0)</f>
        <v>3830</v>
      </c>
      <c r="E96" s="143">
        <f>+'2006 Stlgt Rates'!G147</f>
        <v>0</v>
      </c>
      <c r="F96" s="144">
        <f>+C96</f>
        <v>37</v>
      </c>
      <c r="G96" s="144">
        <f>ROUND(E96*F96*12,0)</f>
        <v>0</v>
      </c>
      <c r="H96" s="143">
        <f>+'2006 Stlgt Rates'!H147</f>
        <v>0</v>
      </c>
      <c r="I96" s="153">
        <f>+F96</f>
        <v>37</v>
      </c>
      <c r="J96" s="144">
        <f>ROUND(H96*I96*12,0)</f>
        <v>0</v>
      </c>
      <c r="K96" s="144">
        <f>+D96+G96+J96</f>
        <v>3830</v>
      </c>
      <c r="M96" s="165">
        <f>+I96</f>
        <v>37</v>
      </c>
      <c r="N96" s="165">
        <v>80</v>
      </c>
      <c r="O96" s="165">
        <f>M96*N96</f>
        <v>2960</v>
      </c>
      <c r="P96" s="166">
        <f>O96*12</f>
        <v>35520</v>
      </c>
      <c r="Q96" s="105"/>
      <c r="R96" s="97">
        <f>+'Schedule 9'!D93</f>
        <v>8.6300000000000008</v>
      </c>
      <c r="S96" s="223">
        <f>+M96</f>
        <v>37</v>
      </c>
      <c r="T96" s="224">
        <f>R96*S96*12</f>
        <v>3831.7200000000003</v>
      </c>
      <c r="U96" s="225">
        <f>T96-D96</f>
        <v>1.7200000000002547</v>
      </c>
    </row>
    <row r="97" spans="1:21">
      <c r="A97" s="126"/>
      <c r="B97" s="141"/>
      <c r="C97" s="138"/>
      <c r="D97" s="138"/>
      <c r="E97" s="141"/>
      <c r="F97" s="138"/>
      <c r="G97" s="138"/>
      <c r="H97" s="141"/>
      <c r="I97" s="138"/>
      <c r="J97" s="138"/>
      <c r="K97" s="138"/>
      <c r="M97" s="165"/>
      <c r="N97" s="165"/>
      <c r="O97" s="105"/>
      <c r="P97" s="105"/>
      <c r="Q97" s="105"/>
      <c r="R97" s="108"/>
      <c r="S97" s="105"/>
      <c r="T97" s="105"/>
      <c r="U97" s="165"/>
    </row>
    <row r="98" spans="1:21">
      <c r="A98" s="154" t="s">
        <v>33</v>
      </c>
      <c r="B98" s="141"/>
      <c r="C98" s="161">
        <f>SUM(C90:C96)</f>
        <v>1013</v>
      </c>
      <c r="D98" s="161">
        <f>SUM(D90:D96)</f>
        <v>133980</v>
      </c>
      <c r="E98" s="141"/>
      <c r="F98" s="161">
        <f>SUM(F90:F96)</f>
        <v>1013</v>
      </c>
      <c r="G98" s="161">
        <f>SUM(G90:G96)</f>
        <v>27523</v>
      </c>
      <c r="H98" s="141"/>
      <c r="I98" s="161">
        <f>SUM(I90:I96)</f>
        <v>1013</v>
      </c>
      <c r="J98" s="161">
        <f>SUM(J90:J96)</f>
        <v>61805</v>
      </c>
      <c r="K98" s="161">
        <f>SUM(K90:K96)</f>
        <v>223308</v>
      </c>
      <c r="M98" s="165">
        <f>SUM(M90:M97)</f>
        <v>1013</v>
      </c>
      <c r="N98" s="165"/>
      <c r="O98" s="165">
        <f>SUM(O90:O97)</f>
        <v>79750</v>
      </c>
      <c r="P98" s="165">
        <f>SUM(P90:P97)</f>
        <v>957000</v>
      </c>
      <c r="Q98" s="105"/>
      <c r="R98" s="108"/>
      <c r="S98" s="162">
        <f>SUM(S90:S97)</f>
        <v>1013</v>
      </c>
      <c r="T98" s="162">
        <f>SUM(T90:T97)</f>
        <v>103234.44000000002</v>
      </c>
      <c r="U98" s="152">
        <f>SUM(U90:U97)</f>
        <v>-30745.55999999999</v>
      </c>
    </row>
    <row r="99" spans="1:21">
      <c r="A99" s="126"/>
      <c r="B99" s="141"/>
      <c r="C99" s="138"/>
      <c r="D99" s="138"/>
      <c r="E99" s="141"/>
      <c r="F99" s="138"/>
      <c r="G99" s="138"/>
      <c r="H99" s="141"/>
      <c r="I99" s="138"/>
      <c r="J99" s="138"/>
      <c r="K99" s="138"/>
      <c r="M99" s="165"/>
      <c r="N99" s="165"/>
      <c r="O99" s="105"/>
      <c r="P99" s="105"/>
      <c r="Q99" s="105"/>
      <c r="R99" s="108"/>
      <c r="S99" s="105"/>
      <c r="T99" s="105"/>
      <c r="U99" s="165"/>
    </row>
    <row r="100" spans="1:21">
      <c r="A100" s="154" t="s">
        <v>613</v>
      </c>
      <c r="B100" s="141"/>
      <c r="C100" s="138"/>
      <c r="D100" s="138"/>
      <c r="E100" s="141"/>
      <c r="F100" s="138"/>
      <c r="G100" s="138"/>
      <c r="H100" s="141"/>
      <c r="I100" s="138"/>
      <c r="J100" s="138"/>
      <c r="K100" s="138"/>
      <c r="M100" s="165"/>
      <c r="N100" s="165"/>
      <c r="O100" s="105"/>
      <c r="P100" s="105"/>
      <c r="Q100" s="105"/>
      <c r="R100" s="108"/>
      <c r="S100" s="105"/>
      <c r="T100" s="105"/>
      <c r="U100" s="165"/>
    </row>
    <row r="101" spans="1:21">
      <c r="A101" s="126"/>
      <c r="B101" s="141"/>
      <c r="C101" s="138"/>
      <c r="D101" s="138"/>
      <c r="E101" s="141"/>
      <c r="F101" s="138"/>
      <c r="G101" s="138"/>
      <c r="H101" s="141"/>
      <c r="I101" s="138"/>
      <c r="J101" s="138"/>
      <c r="K101" s="138"/>
      <c r="M101" s="165"/>
      <c r="N101" s="165"/>
      <c r="O101" s="105"/>
      <c r="P101" s="105"/>
      <c r="Q101" s="105"/>
      <c r="R101" s="108"/>
      <c r="S101" s="105"/>
      <c r="T101" s="105"/>
      <c r="U101" s="165"/>
    </row>
    <row r="102" spans="1:21">
      <c r="A102" s="136" t="s">
        <v>577</v>
      </c>
      <c r="B102" s="141">
        <f>+'2006 Stlgt Rates'!F87</f>
        <v>4.53</v>
      </c>
      <c r="C102" s="138">
        <f>+'Schedule 1'!C53</f>
        <v>38321</v>
      </c>
      <c r="D102" s="138">
        <f t="shared" ref="D102:D107" si="70">ROUND(B102*C102*12,0)</f>
        <v>2083130</v>
      </c>
      <c r="E102" s="141">
        <f>+'2006 Stlgt Rates'!G87</f>
        <v>0.93</v>
      </c>
      <c r="F102" s="138">
        <f t="shared" ref="F102:F107" si="71">+C102</f>
        <v>38321</v>
      </c>
      <c r="G102" s="138">
        <f t="shared" ref="G102:G107" si="72">ROUND(E102*F102*12,0)</f>
        <v>427662</v>
      </c>
      <c r="H102" s="141">
        <f>+'2006 Stlgt Rates'!H87</f>
        <v>5.53</v>
      </c>
      <c r="I102" s="138">
        <f t="shared" ref="I102:I107" si="73">+F102</f>
        <v>38321</v>
      </c>
      <c r="J102" s="138">
        <f t="shared" ref="J102:J107" si="74">ROUND(H102*I102*12,0)</f>
        <v>2542982</v>
      </c>
      <c r="K102" s="138">
        <f t="shared" ref="K102:K107" si="75">+D102+G102+J102</f>
        <v>5053774</v>
      </c>
      <c r="M102" s="165">
        <f t="shared" ref="M102:M107" si="76">+I102</f>
        <v>38321</v>
      </c>
      <c r="N102" s="165">
        <v>32</v>
      </c>
      <c r="O102" s="165">
        <f t="shared" ref="O102:O107" si="77">M102*N102</f>
        <v>1226272</v>
      </c>
      <c r="P102" s="166">
        <f t="shared" ref="P102:P107" si="78">O102*12</f>
        <v>14715264</v>
      </c>
      <c r="Q102" s="105"/>
      <c r="R102" s="108">
        <f>+'Schedule 9'!D97</f>
        <v>3.45</v>
      </c>
      <c r="S102" s="166">
        <f t="shared" ref="S102:S107" si="79">+M102</f>
        <v>38321</v>
      </c>
      <c r="T102" s="138">
        <f t="shared" ref="T102:T107" si="80">R102*S102*12</f>
        <v>1586489.4000000001</v>
      </c>
      <c r="U102" s="165">
        <f t="shared" ref="U102:U107" si="81">T102-D102</f>
        <v>-496640.59999999986</v>
      </c>
    </row>
    <row r="103" spans="1:21">
      <c r="A103" s="136" t="s">
        <v>578</v>
      </c>
      <c r="B103" s="141">
        <f>+'2006 Stlgt Rates'!F89</f>
        <v>6.36</v>
      </c>
      <c r="C103" s="138">
        <f>+'Schedule 1'!C54</f>
        <v>45889</v>
      </c>
      <c r="D103" s="138">
        <f t="shared" si="70"/>
        <v>3502248</v>
      </c>
      <c r="E103" s="141">
        <f>+'2006 Stlgt Rates'!G89</f>
        <v>0.93</v>
      </c>
      <c r="F103" s="138">
        <f t="shared" si="71"/>
        <v>45889</v>
      </c>
      <c r="G103" s="138">
        <f t="shared" si="72"/>
        <v>512121</v>
      </c>
      <c r="H103" s="141">
        <f>+'2006 Stlgt Rates'!H89</f>
        <v>5.53</v>
      </c>
      <c r="I103" s="138">
        <f t="shared" si="73"/>
        <v>45889</v>
      </c>
      <c r="J103" s="138">
        <f t="shared" si="74"/>
        <v>3045194</v>
      </c>
      <c r="K103" s="138">
        <f t="shared" si="75"/>
        <v>7059563</v>
      </c>
      <c r="M103" s="165">
        <f t="shared" si="76"/>
        <v>45889</v>
      </c>
      <c r="N103" s="165">
        <v>45</v>
      </c>
      <c r="O103" s="165">
        <f t="shared" si="77"/>
        <v>2065005</v>
      </c>
      <c r="P103" s="166">
        <f t="shared" si="78"/>
        <v>24780060</v>
      </c>
      <c r="Q103" s="105"/>
      <c r="R103" s="108">
        <f>+'Schedule 9'!D98</f>
        <v>4.8499999999999996</v>
      </c>
      <c r="S103" s="166">
        <f t="shared" si="79"/>
        <v>45889</v>
      </c>
      <c r="T103" s="138">
        <f t="shared" si="80"/>
        <v>2670739.7999999998</v>
      </c>
      <c r="U103" s="165">
        <f t="shared" si="81"/>
        <v>-831508.20000000019</v>
      </c>
    </row>
    <row r="104" spans="1:21">
      <c r="A104" s="136" t="s">
        <v>579</v>
      </c>
      <c r="B104" s="141">
        <f>+'2006 Stlgt Rates'!F91</f>
        <v>9.19</v>
      </c>
      <c r="C104" s="138">
        <f>+'Schedule 1'!C55</f>
        <v>5241</v>
      </c>
      <c r="D104" s="138">
        <f t="shared" si="70"/>
        <v>577977</v>
      </c>
      <c r="E104" s="141">
        <f>+'2006 Stlgt Rates'!G91</f>
        <v>0.93</v>
      </c>
      <c r="F104" s="138">
        <f t="shared" si="71"/>
        <v>5241</v>
      </c>
      <c r="G104" s="138">
        <f t="shared" si="72"/>
        <v>58490</v>
      </c>
      <c r="H104" s="141">
        <f>+'2006 Stlgt Rates'!H91</f>
        <v>5.5400000000000009</v>
      </c>
      <c r="I104" s="138">
        <f t="shared" si="73"/>
        <v>5241</v>
      </c>
      <c r="J104" s="138">
        <f t="shared" si="74"/>
        <v>348422</v>
      </c>
      <c r="K104" s="138">
        <f t="shared" si="75"/>
        <v>984889</v>
      </c>
      <c r="M104" s="165">
        <f t="shared" si="76"/>
        <v>5241</v>
      </c>
      <c r="N104" s="165">
        <v>65</v>
      </c>
      <c r="O104" s="165">
        <f t="shared" si="77"/>
        <v>340665</v>
      </c>
      <c r="P104" s="166">
        <f t="shared" si="78"/>
        <v>4087980</v>
      </c>
      <c r="Q104" s="105"/>
      <c r="R104" s="108">
        <f>+'Schedule 9'!D99</f>
        <v>7.01</v>
      </c>
      <c r="S104" s="166">
        <f t="shared" si="79"/>
        <v>5241</v>
      </c>
      <c r="T104" s="138">
        <f t="shared" si="80"/>
        <v>440872.91999999993</v>
      </c>
      <c r="U104" s="165">
        <f t="shared" si="81"/>
        <v>-137104.08000000007</v>
      </c>
    </row>
    <row r="105" spans="1:21">
      <c r="A105" s="136" t="s">
        <v>580</v>
      </c>
      <c r="B105" s="141">
        <f>+'2006 Stlgt Rates'!F93</f>
        <v>14.12</v>
      </c>
      <c r="C105" s="138">
        <f>+'Schedule 1'!C51</f>
        <v>5256</v>
      </c>
      <c r="D105" s="138">
        <f t="shared" si="70"/>
        <v>890577</v>
      </c>
      <c r="E105" s="141">
        <f>+'2006 Stlgt Rates'!G93</f>
        <v>0.93</v>
      </c>
      <c r="F105" s="138">
        <f t="shared" si="71"/>
        <v>5256</v>
      </c>
      <c r="G105" s="138">
        <f t="shared" si="72"/>
        <v>58657</v>
      </c>
      <c r="H105" s="141">
        <f>+'2006 Stlgt Rates'!H93</f>
        <v>5.5400000000000009</v>
      </c>
      <c r="I105" s="138">
        <f t="shared" si="73"/>
        <v>5256</v>
      </c>
      <c r="J105" s="138">
        <f t="shared" si="74"/>
        <v>349419</v>
      </c>
      <c r="K105" s="138">
        <f t="shared" si="75"/>
        <v>1298653</v>
      </c>
      <c r="M105" s="165">
        <f t="shared" si="76"/>
        <v>5256</v>
      </c>
      <c r="N105" s="165">
        <v>100</v>
      </c>
      <c r="O105" s="165">
        <f t="shared" si="77"/>
        <v>525600</v>
      </c>
      <c r="P105" s="166">
        <f t="shared" si="78"/>
        <v>6307200</v>
      </c>
      <c r="Q105" s="105"/>
      <c r="R105" s="108">
        <f>+'Schedule 9'!D100</f>
        <v>10.79</v>
      </c>
      <c r="S105" s="166">
        <f t="shared" si="79"/>
        <v>5256</v>
      </c>
      <c r="T105" s="138">
        <f t="shared" si="80"/>
        <v>680546.88</v>
      </c>
      <c r="U105" s="165">
        <f t="shared" si="81"/>
        <v>-210030.12</v>
      </c>
    </row>
    <row r="106" spans="1:21">
      <c r="A106" s="136" t="s">
        <v>581</v>
      </c>
      <c r="B106" s="141">
        <f>+'2006 Stlgt Rates'!F95</f>
        <v>21.15</v>
      </c>
      <c r="C106" s="138">
        <f>+'Schedule 1'!C52</f>
        <v>3667</v>
      </c>
      <c r="D106" s="138">
        <f t="shared" si="70"/>
        <v>930685</v>
      </c>
      <c r="E106" s="141">
        <f>+'2006 Stlgt Rates'!G95</f>
        <v>0.93</v>
      </c>
      <c r="F106" s="138">
        <f t="shared" si="71"/>
        <v>3667</v>
      </c>
      <c r="G106" s="138">
        <f t="shared" si="72"/>
        <v>40924</v>
      </c>
      <c r="H106" s="141">
        <f>+'2006 Stlgt Rates'!H95</f>
        <v>5.5400000000000027</v>
      </c>
      <c r="I106" s="138">
        <f t="shared" si="73"/>
        <v>3667</v>
      </c>
      <c r="J106" s="138">
        <f t="shared" si="74"/>
        <v>243782</v>
      </c>
      <c r="K106" s="138">
        <f t="shared" si="75"/>
        <v>1215391</v>
      </c>
      <c r="M106" s="165">
        <f t="shared" si="76"/>
        <v>3667</v>
      </c>
      <c r="N106" s="165">
        <v>150</v>
      </c>
      <c r="O106" s="165">
        <f t="shared" si="77"/>
        <v>550050</v>
      </c>
      <c r="P106" s="166">
        <f t="shared" si="78"/>
        <v>6600600</v>
      </c>
      <c r="Q106" s="105"/>
      <c r="R106" s="108">
        <f>+'Schedule 9'!D101</f>
        <v>16.18</v>
      </c>
      <c r="S106" s="166">
        <f t="shared" si="79"/>
        <v>3667</v>
      </c>
      <c r="T106" s="138">
        <f t="shared" si="80"/>
        <v>711984.72</v>
      </c>
      <c r="U106" s="165">
        <f t="shared" si="81"/>
        <v>-218700.28000000003</v>
      </c>
    </row>
    <row r="107" spans="1:21">
      <c r="A107" s="142" t="s">
        <v>696</v>
      </c>
      <c r="B107" s="143">
        <f>+'2006 Stlgt Rates'!F153</f>
        <v>39.175584000000001</v>
      </c>
      <c r="C107" s="153">
        <v>7</v>
      </c>
      <c r="D107" s="153">
        <f t="shared" si="70"/>
        <v>3291</v>
      </c>
      <c r="E107" s="143">
        <f>+'2006 Stlgt Rates'!G153</f>
        <v>4.2260960000000001</v>
      </c>
      <c r="F107" s="153">
        <f t="shared" si="71"/>
        <v>7</v>
      </c>
      <c r="G107" s="153">
        <f t="shared" si="72"/>
        <v>355</v>
      </c>
      <c r="H107" s="143">
        <f>+'2006 Stlgt Rates'!H153</f>
        <v>17.903871999999996</v>
      </c>
      <c r="I107" s="153">
        <f t="shared" si="73"/>
        <v>7</v>
      </c>
      <c r="J107" s="153">
        <f t="shared" si="74"/>
        <v>1504</v>
      </c>
      <c r="K107" s="153">
        <f t="shared" si="75"/>
        <v>5150</v>
      </c>
      <c r="M107" s="145">
        <f t="shared" si="76"/>
        <v>7</v>
      </c>
      <c r="N107" s="145">
        <v>363</v>
      </c>
      <c r="O107" s="145">
        <f t="shared" si="77"/>
        <v>2541</v>
      </c>
      <c r="P107" s="146">
        <f t="shared" si="78"/>
        <v>30492</v>
      </c>
      <c r="Q107" s="105"/>
      <c r="R107" s="97">
        <f>+'Schedule 9'!D103</f>
        <v>39.159999999999997</v>
      </c>
      <c r="S107" s="223">
        <f t="shared" si="79"/>
        <v>7</v>
      </c>
      <c r="T107" s="224">
        <f t="shared" si="80"/>
        <v>3289.44</v>
      </c>
      <c r="U107" s="225">
        <f t="shared" si="81"/>
        <v>-1.5599999999999454</v>
      </c>
    </row>
    <row r="108" spans="1:21">
      <c r="A108" s="126"/>
      <c r="B108" s="141"/>
      <c r="C108" s="138"/>
      <c r="D108" s="138"/>
      <c r="E108" s="141"/>
      <c r="F108" s="138"/>
      <c r="G108" s="138"/>
      <c r="H108" s="141"/>
      <c r="I108" s="138"/>
      <c r="J108" s="138"/>
      <c r="K108" s="138"/>
      <c r="M108" s="165"/>
      <c r="N108" s="165"/>
      <c r="O108" s="105"/>
      <c r="P108" s="105"/>
      <c r="Q108" s="105"/>
      <c r="R108" s="108"/>
      <c r="S108" s="105"/>
      <c r="T108" s="105"/>
      <c r="U108" s="165"/>
    </row>
    <row r="109" spans="1:21">
      <c r="A109" s="136" t="s">
        <v>582</v>
      </c>
      <c r="B109" s="141">
        <f>+'2006 Stlgt Rates'!F88</f>
        <v>4.5199999999999996</v>
      </c>
      <c r="C109" s="138">
        <f>+'Schedule 1'!D53</f>
        <v>224</v>
      </c>
      <c r="D109" s="138">
        <f>ROUND(B109*C109*12,0)</f>
        <v>12150</v>
      </c>
      <c r="E109" s="141">
        <f>+'2006 Stlgt Rates'!G88</f>
        <v>0.93</v>
      </c>
      <c r="F109" s="138">
        <f>+C109</f>
        <v>224</v>
      </c>
      <c r="G109" s="138">
        <f>ROUND(E109*F109*12,0)</f>
        <v>2500</v>
      </c>
      <c r="H109" s="141">
        <f>+'2006 Stlgt Rates'!H88</f>
        <v>0</v>
      </c>
      <c r="I109" s="138">
        <f>+F109</f>
        <v>224</v>
      </c>
      <c r="J109" s="138">
        <f>ROUND(H109*I109*12,0)</f>
        <v>0</v>
      </c>
      <c r="K109" s="138">
        <f>+D109+G109+J109</f>
        <v>14650</v>
      </c>
      <c r="M109" s="165">
        <f>+I109</f>
        <v>224</v>
      </c>
      <c r="N109" s="165">
        <v>32</v>
      </c>
      <c r="O109" s="165">
        <f>M109*N109</f>
        <v>7168</v>
      </c>
      <c r="P109" s="166">
        <f>O109*12</f>
        <v>86016</v>
      </c>
      <c r="Q109" s="105"/>
      <c r="R109" s="108">
        <f>+'Schedule 9'!D105</f>
        <v>3.45</v>
      </c>
      <c r="S109" s="166">
        <f>+M109</f>
        <v>224</v>
      </c>
      <c r="T109" s="138">
        <f>R109*S109*12</f>
        <v>9273.6</v>
      </c>
      <c r="U109" s="165">
        <f>T109-D109</f>
        <v>-2876.3999999999996</v>
      </c>
    </row>
    <row r="110" spans="1:21">
      <c r="A110" s="136" t="s">
        <v>583</v>
      </c>
      <c r="B110" s="141">
        <f>+'2006 Stlgt Rates'!F90</f>
        <v>6.34</v>
      </c>
      <c r="C110" s="138">
        <f>+'Schedule 1'!D54</f>
        <v>110</v>
      </c>
      <c r="D110" s="138">
        <f>ROUND(B110*C110*12,0)</f>
        <v>8369</v>
      </c>
      <c r="E110" s="141">
        <f>+'2006 Stlgt Rates'!G90</f>
        <v>0.93</v>
      </c>
      <c r="F110" s="138">
        <f>+C110</f>
        <v>110</v>
      </c>
      <c r="G110" s="138">
        <f>ROUND(E110*F110*12,0)</f>
        <v>1228</v>
      </c>
      <c r="H110" s="141">
        <f>+'2006 Stlgt Rates'!H90</f>
        <v>1.0000000000000342E-2</v>
      </c>
      <c r="I110" s="138">
        <f>+F110</f>
        <v>110</v>
      </c>
      <c r="J110" s="138">
        <f>ROUND(H110*I110*12,0)</f>
        <v>13</v>
      </c>
      <c r="K110" s="138">
        <f>+D110+G110+J110</f>
        <v>9610</v>
      </c>
      <c r="M110" s="165">
        <f>+I110</f>
        <v>110</v>
      </c>
      <c r="N110" s="165">
        <v>45</v>
      </c>
      <c r="O110" s="165">
        <f>M110*N110</f>
        <v>4950</v>
      </c>
      <c r="P110" s="166">
        <f>O110*12</f>
        <v>59400</v>
      </c>
      <c r="Q110" s="105"/>
      <c r="R110" s="108">
        <f>+'Schedule 9'!D106</f>
        <v>4.8499999999999996</v>
      </c>
      <c r="S110" s="166">
        <f>+M110</f>
        <v>110</v>
      </c>
      <c r="T110" s="138">
        <f>R110*S110*12</f>
        <v>6402</v>
      </c>
      <c r="U110" s="165">
        <f>T110-D110</f>
        <v>-1967</v>
      </c>
    </row>
    <row r="111" spans="1:21">
      <c r="A111" s="136" t="s">
        <v>584</v>
      </c>
      <c r="B111" s="141">
        <f>+'2006 Stlgt Rates'!F92</f>
        <v>9.17</v>
      </c>
      <c r="C111" s="138">
        <f>+'Schedule 1'!D55</f>
        <v>232</v>
      </c>
      <c r="D111" s="138">
        <f>ROUND(B111*C111*12,0)</f>
        <v>25529</v>
      </c>
      <c r="E111" s="141">
        <f>+'2006 Stlgt Rates'!G92</f>
        <v>0.93</v>
      </c>
      <c r="F111" s="138">
        <f>+C111</f>
        <v>232</v>
      </c>
      <c r="G111" s="138">
        <f>ROUND(E111*F111*12,0)</f>
        <v>2589</v>
      </c>
      <c r="H111" s="141">
        <f>+'2006 Stlgt Rates'!H92</f>
        <v>0</v>
      </c>
      <c r="I111" s="138">
        <f>+F111</f>
        <v>232</v>
      </c>
      <c r="J111" s="138">
        <f>ROUND(H111*I111*12,0)</f>
        <v>0</v>
      </c>
      <c r="K111" s="138">
        <f>+D111+G111+J111</f>
        <v>28118</v>
      </c>
      <c r="M111" s="165">
        <f>+I111</f>
        <v>232</v>
      </c>
      <c r="N111" s="165">
        <v>65</v>
      </c>
      <c r="O111" s="165">
        <f>M111*N111</f>
        <v>15080</v>
      </c>
      <c r="P111" s="166">
        <f>O111*12</f>
        <v>180960</v>
      </c>
      <c r="Q111" s="105"/>
      <c r="R111" s="108">
        <f>+'Schedule 9'!D107</f>
        <v>7.01</v>
      </c>
      <c r="S111" s="166">
        <f>+M111</f>
        <v>232</v>
      </c>
      <c r="T111" s="138">
        <f>R111*S111*12</f>
        <v>19515.84</v>
      </c>
      <c r="U111" s="165">
        <f>T111-D111</f>
        <v>-6013.16</v>
      </c>
    </row>
    <row r="112" spans="1:21">
      <c r="A112" s="136" t="s">
        <v>585</v>
      </c>
      <c r="B112" s="141">
        <f>+'2006 Stlgt Rates'!F94</f>
        <v>14.13</v>
      </c>
      <c r="C112" s="138">
        <f>+'Schedule 1'!D51</f>
        <v>160</v>
      </c>
      <c r="D112" s="138">
        <f>ROUND(B112*C112*12,0)</f>
        <v>27130</v>
      </c>
      <c r="E112" s="141">
        <f>+'2006 Stlgt Rates'!G94</f>
        <v>0.93</v>
      </c>
      <c r="F112" s="138">
        <f>+C112</f>
        <v>160</v>
      </c>
      <c r="G112" s="138">
        <f>ROUND(E112*F112*12,0)</f>
        <v>1786</v>
      </c>
      <c r="H112" s="141">
        <f>+'2006 Stlgt Rates'!H94</f>
        <v>9.9999999999994538E-3</v>
      </c>
      <c r="I112" s="138">
        <f>+F112</f>
        <v>160</v>
      </c>
      <c r="J112" s="138">
        <f>ROUND(H112*I112*12,0)</f>
        <v>19</v>
      </c>
      <c r="K112" s="138">
        <f>+D112+G112+J112</f>
        <v>28935</v>
      </c>
      <c r="M112" s="165">
        <f>+I112</f>
        <v>160</v>
      </c>
      <c r="N112" s="165">
        <v>100</v>
      </c>
      <c r="O112" s="165">
        <f>M112*N112</f>
        <v>16000</v>
      </c>
      <c r="P112" s="166">
        <f>O112*12</f>
        <v>192000</v>
      </c>
      <c r="Q112" s="105"/>
      <c r="R112" s="108">
        <f>+'Schedule 9'!D108</f>
        <v>10.79</v>
      </c>
      <c r="S112" s="166">
        <f>+M112</f>
        <v>160</v>
      </c>
      <c r="T112" s="138">
        <f>R112*S112*12</f>
        <v>20716.8</v>
      </c>
      <c r="U112" s="165">
        <f>T112-D112</f>
        <v>-6413.2000000000007</v>
      </c>
    </row>
    <row r="113" spans="1:21">
      <c r="A113" s="126"/>
      <c r="B113" s="141"/>
      <c r="C113" s="138"/>
      <c r="D113" s="138"/>
      <c r="E113" s="141"/>
      <c r="F113" s="138"/>
      <c r="G113" s="138"/>
      <c r="H113" s="141"/>
      <c r="I113" s="138"/>
      <c r="J113" s="138"/>
      <c r="K113" s="138"/>
      <c r="M113" s="165"/>
      <c r="N113" s="165"/>
      <c r="O113" s="105"/>
      <c r="P113" s="105"/>
      <c r="Q113" s="105"/>
      <c r="R113" s="108"/>
      <c r="S113" s="105"/>
      <c r="T113" s="105"/>
      <c r="U113" s="165"/>
    </row>
    <row r="114" spans="1:21">
      <c r="A114" s="142" t="s">
        <v>586</v>
      </c>
      <c r="B114" s="143">
        <f>+'2006 Stlgt Rates'!F155</f>
        <v>3.4538879999999996</v>
      </c>
      <c r="C114" s="153">
        <f>+'Schedule 1'!E53</f>
        <v>6299</v>
      </c>
      <c r="D114" s="153">
        <f t="shared" ref="D114:D119" si="82">ROUND(B114*C114*12,0)</f>
        <v>261072</v>
      </c>
      <c r="E114" s="143">
        <f>+'2006 Stlgt Rates'!G155</f>
        <v>0</v>
      </c>
      <c r="F114" s="153">
        <f t="shared" ref="F114:F119" si="83">+C114</f>
        <v>6299</v>
      </c>
      <c r="G114" s="153">
        <f t="shared" ref="G114:G119" si="84">ROUND(E114*F114*12,0)</f>
        <v>0</v>
      </c>
      <c r="H114" s="143">
        <f>+'2006 Stlgt Rates'!H155</f>
        <v>0</v>
      </c>
      <c r="I114" s="153">
        <f t="shared" ref="I114:I119" si="85">+F114</f>
        <v>6299</v>
      </c>
      <c r="J114" s="153">
        <f t="shared" ref="J114:J119" si="86">ROUND(H114*I114*12,0)</f>
        <v>0</v>
      </c>
      <c r="K114" s="153">
        <f t="shared" ref="K114:K119" si="87">+D114+G114+J114</f>
        <v>261072</v>
      </c>
      <c r="M114" s="145">
        <f t="shared" ref="M114:M119" si="88">+I114</f>
        <v>6299</v>
      </c>
      <c r="N114" s="145">
        <v>32</v>
      </c>
      <c r="O114" s="145">
        <f t="shared" ref="O114:O119" si="89">M114*N114</f>
        <v>201568</v>
      </c>
      <c r="P114" s="146">
        <f t="shared" ref="P114:P119" si="90">O114*12</f>
        <v>2418816</v>
      </c>
      <c r="Q114" s="105"/>
      <c r="R114" s="97">
        <f>+'Schedule 9'!D110</f>
        <v>3.45</v>
      </c>
      <c r="S114" s="223">
        <f t="shared" ref="S114:S119" si="91">+M114</f>
        <v>6299</v>
      </c>
      <c r="T114" s="224">
        <f t="shared" ref="T114:T119" si="92">R114*S114*12</f>
        <v>260778.60000000003</v>
      </c>
      <c r="U114" s="225">
        <f t="shared" ref="U114:U119" si="93">T114-D114</f>
        <v>-293.39999999996508</v>
      </c>
    </row>
    <row r="115" spans="1:21">
      <c r="A115" s="142" t="s">
        <v>587</v>
      </c>
      <c r="B115" s="143">
        <f>+'2006 Stlgt Rates'!F156</f>
        <v>4.8562079999999996</v>
      </c>
      <c r="C115" s="153">
        <f>+'Schedule 1'!E54</f>
        <v>2508</v>
      </c>
      <c r="D115" s="153">
        <f t="shared" si="82"/>
        <v>146152</v>
      </c>
      <c r="E115" s="143">
        <f>+'2006 Stlgt Rates'!G156</f>
        <v>0</v>
      </c>
      <c r="F115" s="153">
        <f t="shared" si="83"/>
        <v>2508</v>
      </c>
      <c r="G115" s="153">
        <f t="shared" si="84"/>
        <v>0</v>
      </c>
      <c r="H115" s="143">
        <f>+'2006 Stlgt Rates'!H156</f>
        <v>0</v>
      </c>
      <c r="I115" s="153">
        <f t="shared" si="85"/>
        <v>2508</v>
      </c>
      <c r="J115" s="153">
        <f t="shared" si="86"/>
        <v>0</v>
      </c>
      <c r="K115" s="153">
        <f t="shared" si="87"/>
        <v>146152</v>
      </c>
      <c r="M115" s="145">
        <f t="shared" si="88"/>
        <v>2508</v>
      </c>
      <c r="N115" s="145">
        <v>45</v>
      </c>
      <c r="O115" s="145">
        <f t="shared" si="89"/>
        <v>112860</v>
      </c>
      <c r="P115" s="146">
        <f t="shared" si="90"/>
        <v>1354320</v>
      </c>
      <c r="Q115" s="105"/>
      <c r="R115" s="97">
        <f>+'Schedule 9'!D111</f>
        <v>4.8499999999999996</v>
      </c>
      <c r="S115" s="223">
        <f t="shared" si="91"/>
        <v>2508</v>
      </c>
      <c r="T115" s="224">
        <f t="shared" si="92"/>
        <v>145965.59999999998</v>
      </c>
      <c r="U115" s="225">
        <f t="shared" si="93"/>
        <v>-186.40000000002328</v>
      </c>
    </row>
    <row r="116" spans="1:21">
      <c r="A116" s="142" t="s">
        <v>588</v>
      </c>
      <c r="B116" s="143">
        <f>+'2006 Stlgt Rates'!F157</f>
        <v>7.0072800000000006</v>
      </c>
      <c r="C116" s="153">
        <f>+'Schedule 1'!E55</f>
        <v>1299</v>
      </c>
      <c r="D116" s="153">
        <f t="shared" si="82"/>
        <v>109229</v>
      </c>
      <c r="E116" s="143">
        <f>+'2006 Stlgt Rates'!G157</f>
        <v>0</v>
      </c>
      <c r="F116" s="153">
        <f t="shared" si="83"/>
        <v>1299</v>
      </c>
      <c r="G116" s="153">
        <f t="shared" si="84"/>
        <v>0</v>
      </c>
      <c r="H116" s="143">
        <f>+'2006 Stlgt Rates'!H157</f>
        <v>0</v>
      </c>
      <c r="I116" s="153">
        <f t="shared" si="85"/>
        <v>1299</v>
      </c>
      <c r="J116" s="153">
        <f t="shared" si="86"/>
        <v>0</v>
      </c>
      <c r="K116" s="153">
        <f t="shared" si="87"/>
        <v>109229</v>
      </c>
      <c r="M116" s="145">
        <f t="shared" si="88"/>
        <v>1299</v>
      </c>
      <c r="N116" s="145">
        <v>65</v>
      </c>
      <c r="O116" s="145">
        <f t="shared" si="89"/>
        <v>84435</v>
      </c>
      <c r="P116" s="146">
        <f t="shared" si="90"/>
        <v>1013220</v>
      </c>
      <c r="Q116" s="105"/>
      <c r="R116" s="97">
        <f>+'Schedule 9'!D112</f>
        <v>7.01</v>
      </c>
      <c r="S116" s="223">
        <f t="shared" si="91"/>
        <v>1299</v>
      </c>
      <c r="T116" s="224">
        <f t="shared" si="92"/>
        <v>109271.88</v>
      </c>
      <c r="U116" s="225">
        <f t="shared" si="93"/>
        <v>42.880000000004657</v>
      </c>
    </row>
    <row r="117" spans="1:21">
      <c r="A117" s="142" t="s">
        <v>589</v>
      </c>
      <c r="B117" s="143">
        <f>+'2006 Stlgt Rates'!F158</f>
        <v>10.787952000000001</v>
      </c>
      <c r="C117" s="153">
        <f>+'Schedule 1'!E51</f>
        <v>1677</v>
      </c>
      <c r="D117" s="153">
        <f t="shared" si="82"/>
        <v>217097</v>
      </c>
      <c r="E117" s="143">
        <f>+'2006 Stlgt Rates'!G158</f>
        <v>0</v>
      </c>
      <c r="F117" s="153">
        <f t="shared" si="83"/>
        <v>1677</v>
      </c>
      <c r="G117" s="153">
        <f t="shared" si="84"/>
        <v>0</v>
      </c>
      <c r="H117" s="143">
        <f>+'2006 Stlgt Rates'!H158</f>
        <v>0</v>
      </c>
      <c r="I117" s="153">
        <f t="shared" si="85"/>
        <v>1677</v>
      </c>
      <c r="J117" s="153">
        <f t="shared" si="86"/>
        <v>0</v>
      </c>
      <c r="K117" s="153">
        <f t="shared" si="87"/>
        <v>217097</v>
      </c>
      <c r="M117" s="145">
        <f t="shared" si="88"/>
        <v>1677</v>
      </c>
      <c r="N117" s="145">
        <v>100</v>
      </c>
      <c r="O117" s="145">
        <f t="shared" si="89"/>
        <v>167700</v>
      </c>
      <c r="P117" s="146">
        <f t="shared" si="90"/>
        <v>2012400</v>
      </c>
      <c r="Q117" s="105"/>
      <c r="R117" s="97">
        <f>+'Schedule 9'!D113</f>
        <v>10.79</v>
      </c>
      <c r="S117" s="223">
        <f t="shared" si="91"/>
        <v>1677</v>
      </c>
      <c r="T117" s="224">
        <f t="shared" si="92"/>
        <v>217137.95999999996</v>
      </c>
      <c r="U117" s="225">
        <f t="shared" si="93"/>
        <v>40.959999999962747</v>
      </c>
    </row>
    <row r="118" spans="1:21">
      <c r="A118" s="142" t="s">
        <v>590</v>
      </c>
      <c r="B118" s="143">
        <f>+'2006 Stlgt Rates'!F159</f>
        <v>16.166495999999999</v>
      </c>
      <c r="C118" s="153">
        <f>+'Schedule 1'!E52</f>
        <v>86</v>
      </c>
      <c r="D118" s="153">
        <f t="shared" si="82"/>
        <v>16684</v>
      </c>
      <c r="E118" s="143">
        <f>+'2006 Stlgt Rates'!G159</f>
        <v>0</v>
      </c>
      <c r="F118" s="153">
        <f t="shared" si="83"/>
        <v>86</v>
      </c>
      <c r="G118" s="153">
        <f t="shared" si="84"/>
        <v>0</v>
      </c>
      <c r="H118" s="143">
        <f>+'2006 Stlgt Rates'!H159</f>
        <v>0</v>
      </c>
      <c r="I118" s="153">
        <f t="shared" si="85"/>
        <v>86</v>
      </c>
      <c r="J118" s="153">
        <f t="shared" si="86"/>
        <v>0</v>
      </c>
      <c r="K118" s="153">
        <f t="shared" si="87"/>
        <v>16684</v>
      </c>
      <c r="M118" s="145">
        <f t="shared" si="88"/>
        <v>86</v>
      </c>
      <c r="N118" s="145">
        <v>150</v>
      </c>
      <c r="O118" s="145">
        <f t="shared" si="89"/>
        <v>12900</v>
      </c>
      <c r="P118" s="146">
        <f t="shared" si="90"/>
        <v>154800</v>
      </c>
      <c r="Q118" s="105"/>
      <c r="R118" s="97">
        <f>+'Schedule 9'!D114</f>
        <v>16.18</v>
      </c>
      <c r="S118" s="223">
        <f t="shared" si="91"/>
        <v>86</v>
      </c>
      <c r="T118" s="224">
        <f t="shared" si="92"/>
        <v>16697.760000000002</v>
      </c>
      <c r="U118" s="225">
        <f t="shared" si="93"/>
        <v>13.760000000002037</v>
      </c>
    </row>
    <row r="119" spans="1:21">
      <c r="A119" s="142" t="s">
        <v>591</v>
      </c>
      <c r="B119" s="143">
        <f>+'2006 Stlgt Rates'!F160</f>
        <v>19.761616000000004</v>
      </c>
      <c r="C119" s="144">
        <f>+'Schedule 1'!E56</f>
        <v>3</v>
      </c>
      <c r="D119" s="144">
        <f t="shared" si="82"/>
        <v>711</v>
      </c>
      <c r="E119" s="143">
        <f>+'2006 Stlgt Rates'!G160</f>
        <v>0</v>
      </c>
      <c r="F119" s="153">
        <f t="shared" si="83"/>
        <v>3</v>
      </c>
      <c r="G119" s="144">
        <f t="shared" si="84"/>
        <v>0</v>
      </c>
      <c r="H119" s="143">
        <f>+'2006 Stlgt Rates'!H160</f>
        <v>0</v>
      </c>
      <c r="I119" s="153">
        <f t="shared" si="85"/>
        <v>3</v>
      </c>
      <c r="J119" s="144">
        <f t="shared" si="86"/>
        <v>0</v>
      </c>
      <c r="K119" s="144">
        <f t="shared" si="87"/>
        <v>711</v>
      </c>
      <c r="M119" s="145">
        <f t="shared" si="88"/>
        <v>3</v>
      </c>
      <c r="N119" s="145">
        <v>183</v>
      </c>
      <c r="O119" s="145">
        <f t="shared" si="89"/>
        <v>549</v>
      </c>
      <c r="P119" s="146">
        <f t="shared" si="90"/>
        <v>6588</v>
      </c>
      <c r="Q119" s="105"/>
      <c r="R119" s="97">
        <f>+'Schedule 9'!D115</f>
        <v>19.739999999999998</v>
      </c>
      <c r="S119" s="223">
        <f t="shared" si="91"/>
        <v>3</v>
      </c>
      <c r="T119" s="224">
        <f t="shared" si="92"/>
        <v>710.64</v>
      </c>
      <c r="U119" s="225">
        <f t="shared" si="93"/>
        <v>-0.36000000000001364</v>
      </c>
    </row>
    <row r="120" spans="1:21">
      <c r="A120" s="126"/>
      <c r="B120" s="141"/>
      <c r="C120" s="138"/>
      <c r="D120" s="138"/>
      <c r="E120" s="141"/>
      <c r="F120" s="138"/>
      <c r="G120" s="138"/>
      <c r="H120" s="141"/>
      <c r="I120" s="138"/>
      <c r="J120" s="138"/>
      <c r="K120" s="138"/>
      <c r="M120" s="165"/>
      <c r="N120" s="165"/>
      <c r="O120" s="105"/>
      <c r="P120" s="105"/>
      <c r="Q120" s="105"/>
      <c r="R120" s="108"/>
      <c r="S120" s="105"/>
      <c r="T120" s="105"/>
      <c r="U120" s="165"/>
    </row>
    <row r="121" spans="1:21">
      <c r="A121" s="154" t="s">
        <v>33</v>
      </c>
      <c r="B121" s="141"/>
      <c r="C121" s="161">
        <f>SUM(C102:C119)</f>
        <v>110979</v>
      </c>
      <c r="D121" s="161">
        <f>SUM(D102:D119)</f>
        <v>8812031</v>
      </c>
      <c r="E121" s="141"/>
      <c r="F121" s="161">
        <f>SUM(F102:F119)</f>
        <v>110979</v>
      </c>
      <c r="G121" s="161">
        <f>SUM(G102:G119)</f>
        <v>1106312</v>
      </c>
      <c r="H121" s="141"/>
      <c r="I121" s="161">
        <f>SUM(I102:I119)</f>
        <v>110979</v>
      </c>
      <c r="J121" s="161">
        <f>SUM(J102:J119)</f>
        <v>6531335</v>
      </c>
      <c r="K121" s="161">
        <f>SUM(K102:K119)</f>
        <v>16449678</v>
      </c>
      <c r="M121" s="165">
        <f>SUM(M102:M120)</f>
        <v>110979</v>
      </c>
      <c r="N121" s="165"/>
      <c r="O121" s="165">
        <f>SUM(O102:O120)</f>
        <v>5333343</v>
      </c>
      <c r="P121" s="165">
        <f>SUM(P102:P120)</f>
        <v>64000116</v>
      </c>
      <c r="Q121" s="105"/>
      <c r="R121" s="108"/>
      <c r="S121" s="162">
        <f>SUM(S102:S120)</f>
        <v>110979</v>
      </c>
      <c r="T121" s="162">
        <f>SUM(T102:T120)</f>
        <v>6900393.839999998</v>
      </c>
      <c r="U121" s="152">
        <f>SUM(U102:U120)</f>
        <v>-1911637.1600000001</v>
      </c>
    </row>
    <row r="122" spans="1:21">
      <c r="A122" s="126"/>
      <c r="B122" s="141"/>
      <c r="C122" s="138"/>
      <c r="D122" s="138"/>
      <c r="E122" s="141"/>
      <c r="F122" s="138"/>
      <c r="G122" s="138"/>
      <c r="H122" s="141"/>
      <c r="I122" s="138"/>
      <c r="J122" s="138"/>
      <c r="K122" s="138"/>
      <c r="M122" s="165"/>
      <c r="N122" s="165"/>
      <c r="O122" s="105"/>
      <c r="P122" s="105"/>
      <c r="Q122" s="105"/>
      <c r="R122" s="108"/>
      <c r="S122" s="105"/>
      <c r="T122" s="105"/>
      <c r="U122" s="165"/>
    </row>
    <row r="123" spans="1:21">
      <c r="A123" s="154" t="s">
        <v>592</v>
      </c>
      <c r="B123" s="141"/>
      <c r="C123" s="138"/>
      <c r="D123" s="138"/>
      <c r="E123" s="141"/>
      <c r="F123" s="138"/>
      <c r="G123" s="138"/>
      <c r="H123" s="141"/>
      <c r="I123" s="138"/>
      <c r="J123" s="138"/>
      <c r="K123" s="138"/>
      <c r="M123" s="165"/>
      <c r="N123" s="165"/>
      <c r="O123" s="105"/>
      <c r="P123" s="105"/>
      <c r="Q123" s="105"/>
      <c r="R123" s="108"/>
      <c r="S123" s="105"/>
      <c r="T123" s="105"/>
      <c r="U123" s="165"/>
    </row>
    <row r="124" spans="1:21">
      <c r="A124" s="126"/>
      <c r="B124" s="141"/>
      <c r="C124" s="138"/>
      <c r="D124" s="138"/>
      <c r="E124" s="141"/>
      <c r="F124" s="138"/>
      <c r="G124" s="138"/>
      <c r="H124" s="141"/>
      <c r="I124" s="138"/>
      <c r="J124" s="138"/>
      <c r="K124" s="138"/>
      <c r="M124" s="165"/>
      <c r="N124" s="165"/>
      <c r="O124" s="105"/>
      <c r="P124" s="105"/>
      <c r="Q124" s="105"/>
      <c r="R124" s="108"/>
      <c r="S124" s="105"/>
      <c r="T124" s="105"/>
      <c r="U124" s="165"/>
    </row>
    <row r="125" spans="1:21">
      <c r="A125" s="136" t="s">
        <v>593</v>
      </c>
      <c r="B125" s="141">
        <f>+'2006 Stlgt Rates'!F101</f>
        <v>21.18</v>
      </c>
      <c r="C125" s="138">
        <f>+'Schedule 1'!C65</f>
        <v>1215</v>
      </c>
      <c r="D125" s="138">
        <f>ROUND(B125*C125*12,0)</f>
        <v>308804</v>
      </c>
      <c r="E125" s="141">
        <f>+'2006 Stlgt Rates'!G101</f>
        <v>2.76</v>
      </c>
      <c r="F125" s="138">
        <f>+C125</f>
        <v>1215</v>
      </c>
      <c r="G125" s="138">
        <f>ROUND(E125*F125*12,0)</f>
        <v>40241</v>
      </c>
      <c r="H125" s="141">
        <f>+'2006 Stlgt Rates'!H101</f>
        <v>9.8800000000000008</v>
      </c>
      <c r="I125" s="138">
        <f>+F125</f>
        <v>1215</v>
      </c>
      <c r="J125" s="138">
        <f>ROUND(H125*I125*12,0)</f>
        <v>144050</v>
      </c>
      <c r="K125" s="138">
        <f>+D125+G125+J125</f>
        <v>493095</v>
      </c>
      <c r="M125" s="165">
        <f>+I125</f>
        <v>1215</v>
      </c>
      <c r="N125" s="165">
        <v>150</v>
      </c>
      <c r="O125" s="165">
        <f>M125*N125</f>
        <v>182250</v>
      </c>
      <c r="P125" s="166">
        <f>O125*12</f>
        <v>2187000</v>
      </c>
      <c r="Q125" s="105"/>
      <c r="R125" s="108">
        <f>+'Schedule 9'!D121</f>
        <v>16.18</v>
      </c>
      <c r="S125" s="166">
        <f>+M125</f>
        <v>1215</v>
      </c>
      <c r="T125" s="138">
        <f>R125*S125*12</f>
        <v>235904.40000000002</v>
      </c>
      <c r="U125" s="165">
        <f>T125-D125</f>
        <v>-72899.599999999977</v>
      </c>
    </row>
    <row r="126" spans="1:21">
      <c r="A126" s="136" t="s">
        <v>594</v>
      </c>
      <c r="B126" s="141">
        <f>+'2006 Stlgt Rates'!F102</f>
        <v>50.81</v>
      </c>
      <c r="C126" s="138">
        <f>+'Schedule 1'!C66</f>
        <v>833</v>
      </c>
      <c r="D126" s="138">
        <f>ROUND(B126*C126*12,0)</f>
        <v>507897</v>
      </c>
      <c r="E126" s="141">
        <f>+'2006 Stlgt Rates'!G102</f>
        <v>4.07</v>
      </c>
      <c r="F126" s="138">
        <f>+C126</f>
        <v>833</v>
      </c>
      <c r="G126" s="138">
        <f>ROUND(E126*F126*12,0)</f>
        <v>40684</v>
      </c>
      <c r="H126" s="141">
        <f>+'2006 Stlgt Rates'!H102</f>
        <v>14.520000000000003</v>
      </c>
      <c r="I126" s="138">
        <f>+F126</f>
        <v>833</v>
      </c>
      <c r="J126" s="138">
        <f>ROUND(H126*I126*12,0)</f>
        <v>145142</v>
      </c>
      <c r="K126" s="138">
        <f>+D126+G126+J126</f>
        <v>693723</v>
      </c>
      <c r="M126" s="165">
        <f>+I126</f>
        <v>833</v>
      </c>
      <c r="N126" s="165">
        <v>360</v>
      </c>
      <c r="O126" s="165">
        <f>M126*N126</f>
        <v>299880</v>
      </c>
      <c r="P126" s="166">
        <f>O126*12</f>
        <v>3598560</v>
      </c>
      <c r="Q126" s="105"/>
      <c r="R126" s="108">
        <f>+'Schedule 9'!D122</f>
        <v>38.840000000000003</v>
      </c>
      <c r="S126" s="166">
        <f>+M126</f>
        <v>833</v>
      </c>
      <c r="T126" s="138">
        <f>R126*S126*12</f>
        <v>388244.64</v>
      </c>
      <c r="U126" s="165">
        <f>T126-D126</f>
        <v>-119652.35999999999</v>
      </c>
    </row>
    <row r="127" spans="1:21">
      <c r="A127" s="156" t="s">
        <v>595</v>
      </c>
      <c r="B127" s="157">
        <f>+'2006 Stlgt Rates'!F103</f>
        <v>10.79</v>
      </c>
      <c r="C127" s="158">
        <f>+'Schedule 1'!C67</f>
        <v>64</v>
      </c>
      <c r="D127" s="138">
        <f>ROUND(B127*C127*12,0)</f>
        <v>8287</v>
      </c>
      <c r="E127" s="157">
        <f>+'2006 Stlgt Rates'!G103</f>
        <v>2.76</v>
      </c>
      <c r="F127" s="158">
        <f>+C127</f>
        <v>64</v>
      </c>
      <c r="G127" s="138">
        <f>ROUND(E127*F127*12,0)</f>
        <v>2120</v>
      </c>
      <c r="H127" s="157">
        <f>+'2006 Stlgt Rates'!H103</f>
        <v>9.8900000000000023</v>
      </c>
      <c r="I127" s="158">
        <f>+F127</f>
        <v>64</v>
      </c>
      <c r="J127" s="138">
        <f>ROUND(H127*I127*12,0)</f>
        <v>7596</v>
      </c>
      <c r="K127" s="138">
        <f>+D127+G127+J127</f>
        <v>18003</v>
      </c>
      <c r="M127" s="159">
        <f>+I127</f>
        <v>64</v>
      </c>
      <c r="N127" s="159">
        <v>100</v>
      </c>
      <c r="O127" s="165">
        <f>M127*N127</f>
        <v>6400</v>
      </c>
      <c r="P127" s="166">
        <f>O127*12</f>
        <v>76800</v>
      </c>
      <c r="Q127" s="79"/>
      <c r="R127" s="82">
        <f>+'Schedule 9'!D120</f>
        <v>10.79</v>
      </c>
      <c r="S127" s="166">
        <f>+M127</f>
        <v>64</v>
      </c>
      <c r="T127" s="138">
        <f>R127*S127*12</f>
        <v>8286.7199999999993</v>
      </c>
      <c r="U127" s="165">
        <f>T127-D127</f>
        <v>-0.28000000000065484</v>
      </c>
    </row>
    <row r="128" spans="1:21">
      <c r="A128" s="126"/>
      <c r="B128" s="141"/>
      <c r="C128" s="138"/>
      <c r="D128" s="138"/>
      <c r="E128" s="141"/>
      <c r="F128" s="138"/>
      <c r="G128" s="138"/>
      <c r="H128" s="141"/>
      <c r="I128" s="138"/>
      <c r="J128" s="138"/>
      <c r="K128" s="138"/>
      <c r="M128" s="165"/>
      <c r="N128" s="165"/>
      <c r="O128" s="105"/>
      <c r="P128" s="105"/>
      <c r="Q128" s="105"/>
      <c r="R128" s="108"/>
      <c r="S128" s="105"/>
      <c r="T128" s="105"/>
      <c r="U128" s="165"/>
    </row>
    <row r="129" spans="1:21">
      <c r="A129" s="142" t="s">
        <v>614</v>
      </c>
      <c r="B129" s="143">
        <f>+'2006 Stlgt Rates'!F166</f>
        <v>7.2136959999999997</v>
      </c>
      <c r="C129" s="153">
        <f>+'Schedule 1'!D68</f>
        <v>1</v>
      </c>
      <c r="D129" s="153">
        <f>ROUND(B129*C129*12,0)</f>
        <v>87</v>
      </c>
      <c r="E129" s="143">
        <f>+'2006 Stlgt Rates'!G166</f>
        <v>2.7594560000000001</v>
      </c>
      <c r="F129" s="153">
        <f>+C129</f>
        <v>1</v>
      </c>
      <c r="G129" s="153">
        <f>ROUND(E129*F129*12,0)</f>
        <v>33</v>
      </c>
      <c r="H129" s="143">
        <f>+'2006 Stlgt Rates'!H166</f>
        <v>9.886239999999999</v>
      </c>
      <c r="I129" s="153">
        <f>+F129</f>
        <v>1</v>
      </c>
      <c r="J129" s="153">
        <f>ROUND(H129*I129*12,0)</f>
        <v>119</v>
      </c>
      <c r="K129" s="153">
        <f>+D129+G129+J129</f>
        <v>239</v>
      </c>
      <c r="M129" s="145">
        <f>+I129</f>
        <v>1</v>
      </c>
      <c r="N129" s="145">
        <v>67</v>
      </c>
      <c r="O129" s="145">
        <f>M129*N129</f>
        <v>67</v>
      </c>
      <c r="P129" s="146">
        <f>O129*12</f>
        <v>804</v>
      </c>
      <c r="Q129" s="105"/>
      <c r="R129" s="97">
        <f>+'Schedule 9'!D124</f>
        <v>7.23</v>
      </c>
      <c r="S129" s="223">
        <f>+M129</f>
        <v>1</v>
      </c>
      <c r="T129" s="224">
        <f>R129*S129*12</f>
        <v>86.76</v>
      </c>
      <c r="U129" s="225">
        <f>T129-D129</f>
        <v>-0.23999999999999488</v>
      </c>
    </row>
    <row r="130" spans="1:21">
      <c r="A130" s="126"/>
      <c r="B130" s="141"/>
      <c r="C130" s="138"/>
      <c r="D130" s="138"/>
      <c r="E130" s="141"/>
      <c r="F130" s="138"/>
      <c r="G130" s="138"/>
      <c r="H130" s="141"/>
      <c r="I130" s="138"/>
      <c r="J130" s="138"/>
      <c r="K130" s="138"/>
      <c r="M130" s="165"/>
      <c r="N130" s="165"/>
      <c r="O130" s="105"/>
      <c r="P130" s="105"/>
      <c r="Q130" s="105"/>
      <c r="R130" s="108"/>
      <c r="S130" s="105"/>
      <c r="T130" s="105"/>
      <c r="U130" s="165"/>
    </row>
    <row r="131" spans="1:21">
      <c r="A131" s="142" t="s">
        <v>596</v>
      </c>
      <c r="B131" s="143">
        <f>+'2006 Stlgt Rates'!F168</f>
        <v>10.787952000000001</v>
      </c>
      <c r="C131" s="153">
        <f>+'Schedule 1'!E67</f>
        <v>66</v>
      </c>
      <c r="D131" s="153">
        <f>ROUND(B131*C131*12,0)</f>
        <v>8544</v>
      </c>
      <c r="E131" s="143">
        <f>+'2006 Stlgt Rates'!G168</f>
        <v>0</v>
      </c>
      <c r="F131" s="153">
        <f>+C131</f>
        <v>66</v>
      </c>
      <c r="G131" s="153">
        <f>ROUND(E131*F131*12,0)</f>
        <v>0</v>
      </c>
      <c r="H131" s="143">
        <f>+'2006 Stlgt Rates'!H168</f>
        <v>0</v>
      </c>
      <c r="I131" s="153">
        <f>+F131</f>
        <v>66</v>
      </c>
      <c r="J131" s="153">
        <f>ROUND(H131*I131*12,0)</f>
        <v>0</v>
      </c>
      <c r="K131" s="153">
        <f>+D131+G131+J131</f>
        <v>8544</v>
      </c>
      <c r="M131" s="145">
        <f>+I131</f>
        <v>66</v>
      </c>
      <c r="N131" s="145">
        <v>100</v>
      </c>
      <c r="O131" s="145">
        <f>M131*N131</f>
        <v>6600</v>
      </c>
      <c r="P131" s="146">
        <f>O131*12</f>
        <v>79200</v>
      </c>
      <c r="Q131" s="105"/>
      <c r="R131" s="97">
        <f>+'Schedule 9'!D126</f>
        <v>10.79</v>
      </c>
      <c r="S131" s="223">
        <f>+M131</f>
        <v>66</v>
      </c>
      <c r="T131" s="224">
        <f>R131*S131*12</f>
        <v>8545.68</v>
      </c>
      <c r="U131" s="225">
        <f>T131-D131</f>
        <v>1.680000000000291</v>
      </c>
    </row>
    <row r="132" spans="1:21">
      <c r="A132" s="142" t="s">
        <v>597</v>
      </c>
      <c r="B132" s="143">
        <f>+'2006 Stlgt Rates'!F169</f>
        <v>16.166495999999999</v>
      </c>
      <c r="C132" s="153">
        <f>+'Schedule 1'!E65</f>
        <v>153</v>
      </c>
      <c r="D132" s="153">
        <f>ROUND(B132*C132*12,0)</f>
        <v>29682</v>
      </c>
      <c r="E132" s="143">
        <f>+'2006 Stlgt Rates'!G169</f>
        <v>0</v>
      </c>
      <c r="F132" s="153">
        <f>+C132</f>
        <v>153</v>
      </c>
      <c r="G132" s="153">
        <f>ROUND(E132*F132*12,0)</f>
        <v>0</v>
      </c>
      <c r="H132" s="143">
        <f>+'2006 Stlgt Rates'!H169</f>
        <v>0</v>
      </c>
      <c r="I132" s="153">
        <f>+F132</f>
        <v>153</v>
      </c>
      <c r="J132" s="153">
        <f>ROUND(H132*I132*12,0)</f>
        <v>0</v>
      </c>
      <c r="K132" s="153">
        <f>+D132+G132+J132</f>
        <v>29682</v>
      </c>
      <c r="M132" s="145">
        <f>+I132</f>
        <v>153</v>
      </c>
      <c r="N132" s="145">
        <v>150</v>
      </c>
      <c r="O132" s="145">
        <f>M132*N132</f>
        <v>22950</v>
      </c>
      <c r="P132" s="146">
        <f>O132*12</f>
        <v>275400</v>
      </c>
      <c r="Q132" s="105"/>
      <c r="R132" s="97">
        <f>+'Schedule 9'!D127</f>
        <v>16.18</v>
      </c>
      <c r="S132" s="223">
        <f>+M132</f>
        <v>153</v>
      </c>
      <c r="T132" s="224">
        <f>R132*S132*12</f>
        <v>29706.48</v>
      </c>
      <c r="U132" s="225">
        <f>T132-D132</f>
        <v>24.479999999999563</v>
      </c>
    </row>
    <row r="133" spans="1:21">
      <c r="A133" s="142" t="s">
        <v>598</v>
      </c>
      <c r="B133" s="143">
        <f>+'2006 Stlgt Rates'!F170</f>
        <v>38.828800000000001</v>
      </c>
      <c r="C133" s="153">
        <f>+'Schedule 1'!E66</f>
        <v>11</v>
      </c>
      <c r="D133" s="153">
        <f>ROUND(B133*C133*12,0)</f>
        <v>5125</v>
      </c>
      <c r="E133" s="143">
        <f>+'2006 Stlgt Rates'!G170</f>
        <v>0</v>
      </c>
      <c r="F133" s="153">
        <f>+C133</f>
        <v>11</v>
      </c>
      <c r="G133" s="153">
        <f>ROUND(E133*F133*12,0)</f>
        <v>0</v>
      </c>
      <c r="H133" s="143">
        <f>+'2006 Stlgt Rates'!H170</f>
        <v>0</v>
      </c>
      <c r="I133" s="153">
        <f>+F133</f>
        <v>11</v>
      </c>
      <c r="J133" s="153">
        <f>ROUND(H133*I133*12,0)</f>
        <v>0</v>
      </c>
      <c r="K133" s="153">
        <f>+D133+G133+J133</f>
        <v>5125</v>
      </c>
      <c r="M133" s="145">
        <f>+I133</f>
        <v>11</v>
      </c>
      <c r="N133" s="145">
        <v>360</v>
      </c>
      <c r="O133" s="145">
        <f>M133*N133</f>
        <v>3960</v>
      </c>
      <c r="P133" s="146">
        <f>O133*12</f>
        <v>47520</v>
      </c>
      <c r="Q133" s="105"/>
      <c r="R133" s="97">
        <f>+'Schedule 9'!D128</f>
        <v>38.840000000000003</v>
      </c>
      <c r="S133" s="223">
        <f>+M133</f>
        <v>11</v>
      </c>
      <c r="T133" s="224">
        <f>R133*S133*12</f>
        <v>5126.88</v>
      </c>
      <c r="U133" s="225">
        <f>T133-D133</f>
        <v>1.8800000000001091</v>
      </c>
    </row>
    <row r="134" spans="1:21">
      <c r="A134" s="142" t="s">
        <v>599</v>
      </c>
      <c r="B134" s="143">
        <f>+'2006 Stlgt Rates'!F171</f>
        <v>8.0936800000000009</v>
      </c>
      <c r="C134" s="153">
        <f>+'Schedule 1'!E69</f>
        <v>72</v>
      </c>
      <c r="D134" s="153">
        <f>ROUND(B134*C134*12,0)</f>
        <v>6993</v>
      </c>
      <c r="E134" s="143">
        <f>+'2006 Stlgt Rates'!G171</f>
        <v>0</v>
      </c>
      <c r="F134" s="153">
        <f>+C134</f>
        <v>72</v>
      </c>
      <c r="G134" s="153">
        <f>ROUND(E134*F134*12,0)</f>
        <v>0</v>
      </c>
      <c r="H134" s="143">
        <f>+'2006 Stlgt Rates'!H171</f>
        <v>0</v>
      </c>
      <c r="I134" s="153">
        <f>+F134</f>
        <v>72</v>
      </c>
      <c r="J134" s="153">
        <f>ROUND(H134*I134*12,0)</f>
        <v>0</v>
      </c>
      <c r="K134" s="153">
        <f>+D134+G134+J134</f>
        <v>6993</v>
      </c>
      <c r="M134" s="145">
        <f>+I134</f>
        <v>72</v>
      </c>
      <c r="N134" s="145">
        <v>75</v>
      </c>
      <c r="O134" s="145">
        <f>M134*N134</f>
        <v>5400</v>
      </c>
      <c r="P134" s="146">
        <f>O134*12</f>
        <v>64800</v>
      </c>
      <c r="Q134" s="105"/>
      <c r="R134" s="97">
        <f>+'Schedule 9'!D129</f>
        <v>7.23</v>
      </c>
      <c r="S134" s="223">
        <f>+M134</f>
        <v>72</v>
      </c>
      <c r="T134" s="224">
        <f>R134*S134*12</f>
        <v>6246.7200000000012</v>
      </c>
      <c r="U134" s="225">
        <f>T134-D134</f>
        <v>-746.27999999999884</v>
      </c>
    </row>
    <row r="135" spans="1:21">
      <c r="A135" s="142" t="s">
        <v>689</v>
      </c>
      <c r="B135" s="143">
        <f>+'2006 Stlgt Rates'!F172</f>
        <v>7.2136959999999997</v>
      </c>
      <c r="C135" s="144">
        <f>+'Schedule 1'!E70</f>
        <v>3</v>
      </c>
      <c r="D135" s="144">
        <f>ROUND(B135*C135*12,0)</f>
        <v>260</v>
      </c>
      <c r="E135" s="143">
        <f>+'2006 Stlgt Rates'!G172</f>
        <v>0</v>
      </c>
      <c r="F135" s="144">
        <f>+C135</f>
        <v>3</v>
      </c>
      <c r="G135" s="144">
        <f>ROUND(E135*F135*12,0)</f>
        <v>0</v>
      </c>
      <c r="H135" s="143">
        <f>+'2006 Stlgt Rates'!H172</f>
        <v>0</v>
      </c>
      <c r="I135" s="144">
        <f>+F135</f>
        <v>3</v>
      </c>
      <c r="J135" s="144">
        <f>ROUND(H135*I135*12,0)</f>
        <v>0</v>
      </c>
      <c r="K135" s="144">
        <f>+D135+G135+J135</f>
        <v>260</v>
      </c>
      <c r="M135" s="145">
        <f>+I135</f>
        <v>3</v>
      </c>
      <c r="N135" s="145">
        <v>67</v>
      </c>
      <c r="O135" s="145">
        <f>M135*N135</f>
        <v>201</v>
      </c>
      <c r="P135" s="146">
        <f>O135*12</f>
        <v>2412</v>
      </c>
      <c r="Q135" s="105"/>
      <c r="R135" s="97">
        <f>+'Schedule 9'!D130</f>
        <v>6.15</v>
      </c>
      <c r="S135" s="223">
        <f>+M135</f>
        <v>3</v>
      </c>
      <c r="T135" s="224">
        <f>R135*S135*12</f>
        <v>221.40000000000003</v>
      </c>
      <c r="U135" s="225">
        <f>T135-D135</f>
        <v>-38.599999999999966</v>
      </c>
    </row>
    <row r="136" spans="1:21">
      <c r="A136" s="126"/>
      <c r="B136" s="141"/>
      <c r="C136" s="138"/>
      <c r="D136" s="138"/>
      <c r="E136" s="141"/>
      <c r="F136" s="138"/>
      <c r="G136" s="138"/>
      <c r="H136" s="141"/>
      <c r="I136" s="138"/>
      <c r="J136" s="138"/>
      <c r="K136" s="138"/>
      <c r="M136" s="165"/>
      <c r="N136" s="165"/>
      <c r="O136" s="105"/>
      <c r="P136" s="105"/>
      <c r="Q136" s="105"/>
      <c r="R136" s="108"/>
      <c r="S136" s="105"/>
      <c r="T136" s="105"/>
      <c r="U136" s="105"/>
    </row>
    <row r="137" spans="1:21">
      <c r="A137" s="154" t="s">
        <v>33</v>
      </c>
      <c r="B137" s="141"/>
      <c r="C137" s="161">
        <f>SUM(C125:C136)</f>
        <v>2418</v>
      </c>
      <c r="D137" s="161">
        <f>SUM(D125:D136)</f>
        <v>875679</v>
      </c>
      <c r="E137" s="141"/>
      <c r="F137" s="161">
        <f>SUM(F125:F136)</f>
        <v>2418</v>
      </c>
      <c r="G137" s="161">
        <f>SUM(G125:G136)</f>
        <v>83078</v>
      </c>
      <c r="H137" s="141"/>
      <c r="I137" s="161">
        <f>SUM(I125:I136)</f>
        <v>2418</v>
      </c>
      <c r="J137" s="161">
        <f>SUM(J125:J136)</f>
        <v>296907</v>
      </c>
      <c r="K137" s="161">
        <f>SUM(K125:K136)</f>
        <v>1255664</v>
      </c>
      <c r="M137" s="165">
        <f>SUM(M125:M136)</f>
        <v>2418</v>
      </c>
      <c r="N137" s="165"/>
      <c r="O137" s="165">
        <f>SUM(O125:O136)</f>
        <v>527708</v>
      </c>
      <c r="P137" s="165">
        <f>SUM(P125:P136)</f>
        <v>6332496</v>
      </c>
      <c r="Q137" s="105"/>
      <c r="R137" s="108"/>
      <c r="S137" s="162">
        <f>SUM(S125:S136)</f>
        <v>2418</v>
      </c>
      <c r="T137" s="162">
        <f>SUM(T125:T136)</f>
        <v>682369.68</v>
      </c>
      <c r="U137" s="152">
        <f>SUM(U125:U136)</f>
        <v>-193309.31999999995</v>
      </c>
    </row>
    <row r="138" spans="1:21">
      <c r="A138" s="205"/>
      <c r="B138" s="206"/>
      <c r="C138" s="207"/>
      <c r="D138" s="208"/>
      <c r="E138" s="206"/>
      <c r="F138" s="207"/>
      <c r="G138" s="208"/>
      <c r="H138" s="206"/>
      <c r="I138" s="207"/>
      <c r="J138" s="208"/>
      <c r="K138" s="208"/>
      <c r="M138" s="217"/>
      <c r="N138" s="165"/>
      <c r="O138" s="105"/>
      <c r="P138" s="105"/>
      <c r="Q138" s="105"/>
      <c r="R138" s="108"/>
      <c r="S138" s="105"/>
      <c r="T138" s="105"/>
      <c r="U138" s="165"/>
    </row>
    <row r="139" spans="1:21">
      <c r="A139" s="244" t="s">
        <v>600</v>
      </c>
      <c r="B139" s="212"/>
      <c r="C139" s="213">
        <f>+C19+C47+C68+C86+C98+C121+C137</f>
        <v>134287</v>
      </c>
      <c r="D139" s="214">
        <f>+D19+D47+D68+D86+D98+D121+D137</f>
        <v>12119813</v>
      </c>
      <c r="E139" s="212"/>
      <c r="F139" s="213">
        <f>+F19+F47+F68+F86+F98+F121+F137</f>
        <v>134287</v>
      </c>
      <c r="G139" s="214">
        <f>+G19+G47+G68+G86+G98+G121+G137</f>
        <v>1551919</v>
      </c>
      <c r="H139" s="212"/>
      <c r="I139" s="213">
        <f>+I19+I47+I68+I86+I98+I121+I137</f>
        <v>134287</v>
      </c>
      <c r="J139" s="214">
        <f>+J19+J47+J68+J86+J98+J121+J137</f>
        <v>7729974</v>
      </c>
      <c r="K139" s="214">
        <f>+K19+K47+K68+K86+K98+K121+K137</f>
        <v>21401706</v>
      </c>
      <c r="L139" s="216"/>
      <c r="M139" s="219">
        <f>+M19+M47+M68+M86+M98+M121+M137</f>
        <v>134287</v>
      </c>
      <c r="N139" s="217"/>
      <c r="O139" s="219">
        <f>+O19+O47+O68+O86+O98+O121+O137</f>
        <v>7311567</v>
      </c>
      <c r="P139" s="219">
        <f>+P19+P47+P68+P86+P98+P121+P137</f>
        <v>87738804</v>
      </c>
      <c r="Q139" s="105"/>
      <c r="R139" s="105"/>
      <c r="S139" s="221">
        <f>+S19+S47+S68+S86+S98+S121+S137</f>
        <v>134287</v>
      </c>
      <c r="T139" s="222">
        <f>+T19+T47+T68+T86+T98+T121+T137</f>
        <v>9450941.4529079981</v>
      </c>
      <c r="U139" s="222">
        <f>+U19+U47+U68+U86+U98+U121+U137</f>
        <v>-2668871.5470919996</v>
      </c>
    </row>
    <row r="140" spans="1:21" ht="15.75" thickBot="1">
      <c r="A140" s="209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M140" s="218"/>
      <c r="N140" s="140"/>
    </row>
    <row r="141" spans="1:21" ht="15.75" thickBot="1">
      <c r="I141" s="164" t="s">
        <v>694</v>
      </c>
      <c r="K141" s="69">
        <f>(K139/'2005 Rev Analysis'!K139)-1</f>
        <v>8.6378202777241508E-2</v>
      </c>
      <c r="M141" s="140"/>
      <c r="N141" s="140"/>
    </row>
  </sheetData>
  <phoneticPr fontId="20" type="noConversion"/>
  <printOptions horizontalCentered="1"/>
  <pageMargins left="0.5" right="0.5" top="0.75" bottom="0.75" header="0.5" footer="0.5"/>
  <pageSetup scale="77" fitToHeight="4" orientation="landscape" verticalDpi="1200" r:id="rId1"/>
  <headerFooter alignWithMargins="0"/>
  <rowBreaks count="4" manualBreakCount="4">
    <brk id="39" max="10" man="1"/>
    <brk id="69" max="10" man="1"/>
    <brk id="99" max="10" man="1"/>
    <brk id="122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zoomScale="87" zoomScaleNormal="87" workbookViewId="0">
      <selection activeCell="D6" sqref="D6"/>
    </sheetView>
  </sheetViews>
  <sheetFormatPr defaultRowHeight="15"/>
  <cols>
    <col min="1" max="1" width="26" customWidth="1"/>
    <col min="2" max="3" width="8.33203125" customWidth="1"/>
    <col min="4" max="4" width="9.88671875" customWidth="1"/>
    <col min="5" max="6" width="8.33203125" customWidth="1"/>
    <col min="7" max="7" width="9.88671875" customWidth="1"/>
    <col min="8" max="9" width="8.33203125" customWidth="1"/>
    <col min="10" max="11" width="9.88671875" customWidth="1"/>
    <col min="12" max="12" width="2.44140625" customWidth="1"/>
    <col min="13" max="16" width="12.21875" customWidth="1"/>
    <col min="17" max="17" width="3" customWidth="1"/>
    <col min="18" max="21" width="9.88671875" customWidth="1"/>
  </cols>
  <sheetData>
    <row r="1" spans="1:21" ht="18">
      <c r="A1" s="120" t="s">
        <v>705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M1" s="376" t="str">
        <f>+A1</f>
        <v>BASED ON 2007 PROPOSED RATES</v>
      </c>
      <c r="N1" s="372"/>
      <c r="O1" s="372"/>
      <c r="P1" s="372"/>
      <c r="Q1" s="372"/>
      <c r="R1" s="372"/>
      <c r="S1" s="372"/>
      <c r="T1" s="372"/>
      <c r="U1" s="372"/>
    </row>
    <row r="2" spans="1:21" ht="18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227"/>
    </row>
    <row r="3" spans="1:21" ht="15.75">
      <c r="A3" s="122" t="s">
        <v>504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M3" s="377" t="s">
        <v>504</v>
      </c>
      <c r="N3" s="372"/>
      <c r="O3" s="372"/>
      <c r="P3" s="372"/>
      <c r="Q3" s="372"/>
      <c r="R3" s="372"/>
      <c r="S3" s="372"/>
      <c r="T3" s="372"/>
      <c r="U3" s="372"/>
    </row>
    <row r="4" spans="1:21" ht="15.75" customHeight="1">
      <c r="A4" s="123" t="s">
        <v>505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M4" s="378" t="s">
        <v>701</v>
      </c>
      <c r="N4" s="372"/>
      <c r="O4" s="372"/>
      <c r="P4" s="372"/>
      <c r="Q4" s="372"/>
      <c r="R4" s="372"/>
      <c r="S4" s="372"/>
      <c r="T4" s="372"/>
      <c r="U4" s="372"/>
    </row>
    <row r="5" spans="1:21" ht="15.75">
      <c r="A5" s="123" t="s">
        <v>507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21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2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2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21">
      <c r="A9" s="126"/>
      <c r="B9" s="127" t="s">
        <v>508</v>
      </c>
      <c r="C9" s="128"/>
      <c r="D9" s="129"/>
      <c r="E9" s="127" t="s">
        <v>509</v>
      </c>
      <c r="F9" s="128"/>
      <c r="G9" s="129"/>
      <c r="H9" s="127" t="s">
        <v>510</v>
      </c>
      <c r="I9" s="128"/>
      <c r="J9" s="130"/>
      <c r="K9" s="131" t="s">
        <v>33</v>
      </c>
      <c r="O9" s="132" t="s">
        <v>511</v>
      </c>
      <c r="P9" s="132" t="s">
        <v>695</v>
      </c>
      <c r="R9" s="127" t="s">
        <v>512</v>
      </c>
      <c r="S9" s="128"/>
      <c r="T9" s="130"/>
    </row>
    <row r="10" spans="1:21">
      <c r="A10" s="126"/>
      <c r="B10" s="131" t="s">
        <v>513</v>
      </c>
      <c r="C10" s="131" t="s">
        <v>514</v>
      </c>
      <c r="D10" s="131" t="s">
        <v>515</v>
      </c>
      <c r="E10" s="131" t="s">
        <v>513</v>
      </c>
      <c r="F10" s="131" t="s">
        <v>514</v>
      </c>
      <c r="G10" s="131" t="s">
        <v>515</v>
      </c>
      <c r="H10" s="131" t="s">
        <v>513</v>
      </c>
      <c r="I10" s="131" t="s">
        <v>514</v>
      </c>
      <c r="J10" s="131" t="s">
        <v>515</v>
      </c>
      <c r="K10" s="131" t="s">
        <v>515</v>
      </c>
      <c r="M10" s="131" t="s">
        <v>514</v>
      </c>
      <c r="N10" s="133" t="s">
        <v>516</v>
      </c>
      <c r="O10" s="134" t="s">
        <v>517</v>
      </c>
      <c r="P10" s="134" t="s">
        <v>517</v>
      </c>
      <c r="R10" s="131" t="s">
        <v>513</v>
      </c>
      <c r="S10" s="131" t="s">
        <v>514</v>
      </c>
      <c r="T10" s="131" t="s">
        <v>515</v>
      </c>
      <c r="U10" s="131" t="s">
        <v>518</v>
      </c>
    </row>
    <row r="11" spans="1:2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>
      <c r="A12" s="135" t="s">
        <v>519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M12" s="105"/>
      <c r="N12" s="105"/>
      <c r="O12" s="105"/>
      <c r="P12" s="105"/>
      <c r="Q12" s="105"/>
      <c r="R12" s="105"/>
      <c r="S12" s="105"/>
      <c r="T12" s="105"/>
      <c r="U12" s="105"/>
    </row>
    <row r="13" spans="1:2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M13" s="105"/>
      <c r="N13" s="105"/>
      <c r="O13" s="105"/>
      <c r="P13" s="105"/>
      <c r="Q13" s="105"/>
      <c r="R13" s="105"/>
      <c r="S13" s="105"/>
      <c r="T13" s="105"/>
      <c r="U13" s="105"/>
    </row>
    <row r="14" spans="1:21">
      <c r="A14" s="136" t="s">
        <v>520</v>
      </c>
      <c r="B14" s="137">
        <f>+'2007 Stlgt Rates'!F14</f>
        <v>14.72</v>
      </c>
      <c r="C14" s="138">
        <f>+'Schedule 1'!C9</f>
        <v>31</v>
      </c>
      <c r="D14" s="139">
        <f>ROUND(B14*C14*12,0)</f>
        <v>5476</v>
      </c>
      <c r="E14" s="137">
        <f>+'2007 Stlgt Rates'!G14</f>
        <v>1.25</v>
      </c>
      <c r="F14" s="138">
        <f>+C14</f>
        <v>31</v>
      </c>
      <c r="G14" s="139">
        <f>ROUND(E14*F14*12,0)</f>
        <v>465</v>
      </c>
      <c r="H14" s="137">
        <f>+'2007 Stlgt Rates'!H14</f>
        <v>4.0899999999999981</v>
      </c>
      <c r="I14" s="138">
        <f>+F14</f>
        <v>31</v>
      </c>
      <c r="J14" s="139">
        <f>ROUND(H14*I14*12,0)</f>
        <v>1521</v>
      </c>
      <c r="K14" s="139">
        <f>+D14+G14+J14</f>
        <v>7462</v>
      </c>
      <c r="M14" s="165">
        <f>+I14</f>
        <v>31</v>
      </c>
      <c r="N14" s="165">
        <v>97</v>
      </c>
      <c r="O14" s="165">
        <f>M14*N14</f>
        <v>3007</v>
      </c>
      <c r="P14" s="166">
        <f>O14*12</f>
        <v>36084</v>
      </c>
      <c r="Q14" s="105"/>
      <c r="R14" s="107">
        <f>+'Rates 2007 01 01'!D14</f>
        <v>11.25</v>
      </c>
      <c r="S14" s="166">
        <f>+M14</f>
        <v>31</v>
      </c>
      <c r="T14" s="139">
        <f>R14*S14*12</f>
        <v>4185</v>
      </c>
      <c r="U14" s="167">
        <f>T14-D14</f>
        <v>-1291</v>
      </c>
    </row>
    <row r="15" spans="1:21">
      <c r="A15" s="136" t="s">
        <v>521</v>
      </c>
      <c r="B15" s="141">
        <f>+'2007 Stlgt Rates'!F15</f>
        <v>23.36</v>
      </c>
      <c r="C15" s="138">
        <f>+'Schedule 1'!C10</f>
        <v>3</v>
      </c>
      <c r="D15" s="138">
        <f>ROUND(B15*C15*12,0)</f>
        <v>841</v>
      </c>
      <c r="E15" s="141">
        <f>+'2007 Stlgt Rates'!G15</f>
        <v>1.25</v>
      </c>
      <c r="F15" s="138">
        <f>+C15</f>
        <v>3</v>
      </c>
      <c r="G15" s="138">
        <f>ROUND(E15*F15*12,0)</f>
        <v>45</v>
      </c>
      <c r="H15" s="141">
        <f>+'2007 Stlgt Rates'!H15</f>
        <v>4.4800000000000004</v>
      </c>
      <c r="I15" s="138">
        <f>+F15</f>
        <v>3</v>
      </c>
      <c r="J15" s="138">
        <f>ROUND(H15*I15*12,0)</f>
        <v>161</v>
      </c>
      <c r="K15" s="138">
        <f>+D15+G15+J15</f>
        <v>1047</v>
      </c>
      <c r="M15" s="165">
        <f>+I15</f>
        <v>3</v>
      </c>
      <c r="N15" s="165">
        <v>154</v>
      </c>
      <c r="O15" s="165">
        <f>M15*N15</f>
        <v>462</v>
      </c>
      <c r="P15" s="166">
        <f>O15*12</f>
        <v>5544</v>
      </c>
      <c r="Q15" s="105"/>
      <c r="R15" s="108">
        <f>+'Rates 2007 01 01'!D15</f>
        <v>17.86</v>
      </c>
      <c r="S15" s="166">
        <f>+M15</f>
        <v>3</v>
      </c>
      <c r="T15" s="138">
        <f>R15*S15*12</f>
        <v>642.96</v>
      </c>
      <c r="U15" s="165">
        <f>T15-D15</f>
        <v>-198.03999999999996</v>
      </c>
    </row>
    <row r="16" spans="1:21">
      <c r="A16" s="126"/>
      <c r="B16" s="141"/>
      <c r="C16" s="138"/>
      <c r="D16" s="138"/>
      <c r="E16" s="141"/>
      <c r="F16" s="138"/>
      <c r="G16" s="138"/>
      <c r="H16" s="141"/>
      <c r="I16" s="138"/>
      <c r="J16" s="138"/>
      <c r="K16" s="138"/>
      <c r="M16" s="165"/>
      <c r="N16" s="165"/>
      <c r="O16" s="105"/>
      <c r="P16" s="105"/>
      <c r="Q16" s="105"/>
      <c r="R16" s="105"/>
      <c r="S16" s="105"/>
      <c r="T16" s="105"/>
      <c r="U16" s="165"/>
    </row>
    <row r="17" spans="1:21">
      <c r="A17" s="142" t="s">
        <v>522</v>
      </c>
      <c r="B17" s="143">
        <f>+'2007 Stlgt Rates'!F119</f>
        <v>14.715287999999999</v>
      </c>
      <c r="C17" s="144">
        <f>+'Schedule 1'!E9</f>
        <v>7</v>
      </c>
      <c r="D17" s="144">
        <f>ROUND(B17*C17*12,0)</f>
        <v>1236</v>
      </c>
      <c r="E17" s="143">
        <f>+'2007 Stlgt Rates'!G119</f>
        <v>0</v>
      </c>
      <c r="F17" s="144">
        <f>+C17</f>
        <v>7</v>
      </c>
      <c r="G17" s="144">
        <f>ROUND(E17*F17*12,0)</f>
        <v>0</v>
      </c>
      <c r="H17" s="143">
        <f>+'2007 Stlgt Rates'!H119</f>
        <v>0</v>
      </c>
      <c r="I17" s="144">
        <f>+F17</f>
        <v>7</v>
      </c>
      <c r="J17" s="144">
        <f>ROUND(H17*I17*12,0)</f>
        <v>0</v>
      </c>
      <c r="K17" s="144">
        <f>+D17+G17+J17</f>
        <v>1236</v>
      </c>
      <c r="M17" s="145">
        <v>7</v>
      </c>
      <c r="N17" s="145">
        <v>97</v>
      </c>
      <c r="O17" s="145">
        <f>M17*N17</f>
        <v>679</v>
      </c>
      <c r="P17" s="146">
        <f>O17*12</f>
        <v>8148</v>
      </c>
      <c r="Q17" s="105"/>
      <c r="R17" s="97">
        <f>+'Rates 2007 01 01'!D17</f>
        <v>11.25</v>
      </c>
      <c r="S17" s="147">
        <f>+M17</f>
        <v>7</v>
      </c>
      <c r="T17" s="144">
        <f>R17*S17*12</f>
        <v>945</v>
      </c>
      <c r="U17" s="148">
        <f>T17-D17</f>
        <v>-291</v>
      </c>
    </row>
    <row r="18" spans="1:21">
      <c r="A18" s="126"/>
      <c r="B18" s="141"/>
      <c r="C18" s="138"/>
      <c r="D18" s="138"/>
      <c r="E18" s="141"/>
      <c r="F18" s="138"/>
      <c r="G18" s="138"/>
      <c r="H18" s="141"/>
      <c r="I18" s="138"/>
      <c r="J18" s="138"/>
      <c r="K18" s="138"/>
      <c r="M18" s="165"/>
      <c r="N18" s="165"/>
      <c r="O18" s="105"/>
      <c r="P18" s="105"/>
      <c r="Q18" s="105"/>
      <c r="R18" s="105"/>
      <c r="S18" s="105"/>
      <c r="T18" s="105"/>
      <c r="U18" s="165"/>
    </row>
    <row r="19" spans="1:21">
      <c r="A19" s="149" t="s">
        <v>33</v>
      </c>
      <c r="B19" s="141"/>
      <c r="C19" s="150">
        <f>+C14+C15+C17</f>
        <v>41</v>
      </c>
      <c r="D19" s="151">
        <f>+D14+D15+D17</f>
        <v>7553</v>
      </c>
      <c r="E19" s="141"/>
      <c r="F19" s="151">
        <f>+F14+F15+F17</f>
        <v>41</v>
      </c>
      <c r="G19" s="151">
        <f>+G14+G15+G17</f>
        <v>510</v>
      </c>
      <c r="H19" s="141"/>
      <c r="I19" s="151">
        <f>+I14+I15+I17</f>
        <v>41</v>
      </c>
      <c r="J19" s="151">
        <f>+J14+J15+J17</f>
        <v>1682</v>
      </c>
      <c r="K19" s="151">
        <f>+K14+K15+K17</f>
        <v>9745</v>
      </c>
      <c r="M19" s="165">
        <f>SUM(M14:M18)</f>
        <v>41</v>
      </c>
      <c r="N19" s="165"/>
      <c r="O19" s="165">
        <f>SUM(O14:O18)</f>
        <v>4148</v>
      </c>
      <c r="P19" s="165">
        <f>SUM(P14:P18)</f>
        <v>49776</v>
      </c>
      <c r="Q19" s="105"/>
      <c r="R19" s="151"/>
      <c r="S19" s="151">
        <f>SUM(S14:S18)</f>
        <v>41</v>
      </c>
      <c r="T19" s="151">
        <f>SUM(T14:T18)</f>
        <v>5772.96</v>
      </c>
      <c r="U19" s="220">
        <f>SUM(U14:U18)</f>
        <v>-1780.04</v>
      </c>
    </row>
    <row r="20" spans="1:21">
      <c r="A20" s="126"/>
      <c r="B20" s="141"/>
      <c r="C20" s="138"/>
      <c r="D20" s="138"/>
      <c r="E20" s="141"/>
      <c r="F20" s="138"/>
      <c r="G20" s="138"/>
      <c r="H20" s="141"/>
      <c r="I20" s="138"/>
      <c r="J20" s="138"/>
      <c r="K20" s="138"/>
      <c r="M20" s="165"/>
      <c r="N20" s="165"/>
      <c r="O20" s="105"/>
      <c r="P20" s="105"/>
      <c r="Q20" s="105"/>
      <c r="R20" s="105"/>
      <c r="S20" s="105"/>
      <c r="T20" s="105"/>
      <c r="U20" s="165"/>
    </row>
    <row r="21" spans="1:21">
      <c r="A21" s="126"/>
      <c r="B21" s="141"/>
      <c r="C21" s="138"/>
      <c r="D21" s="138"/>
      <c r="E21" s="141"/>
      <c r="F21" s="138"/>
      <c r="G21" s="138"/>
      <c r="H21" s="141"/>
      <c r="I21" s="138"/>
      <c r="J21" s="138"/>
      <c r="K21" s="138"/>
      <c r="M21" s="165"/>
      <c r="N21" s="165"/>
      <c r="O21" s="105"/>
      <c r="P21" s="105"/>
      <c r="Q21" s="105"/>
      <c r="R21" s="105"/>
      <c r="S21" s="105"/>
      <c r="T21" s="105"/>
      <c r="U21" s="165"/>
    </row>
    <row r="22" spans="1:21">
      <c r="A22" s="135" t="s">
        <v>523</v>
      </c>
      <c r="B22" s="141"/>
      <c r="C22" s="138"/>
      <c r="D22" s="138"/>
      <c r="E22" s="141"/>
      <c r="F22" s="138"/>
      <c r="G22" s="138"/>
      <c r="H22" s="141"/>
      <c r="I22" s="138"/>
      <c r="J22" s="138"/>
      <c r="K22" s="138"/>
      <c r="M22" s="165"/>
      <c r="N22" s="165"/>
      <c r="O22" s="105"/>
      <c r="P22" s="105"/>
      <c r="Q22" s="105"/>
      <c r="R22" s="105"/>
      <c r="S22" s="105"/>
      <c r="T22" s="105"/>
      <c r="U22" s="165"/>
    </row>
    <row r="23" spans="1:21">
      <c r="A23" s="126"/>
      <c r="B23" s="141"/>
      <c r="C23" s="138"/>
      <c r="D23" s="138"/>
      <c r="E23" s="141"/>
      <c r="F23" s="138"/>
      <c r="G23" s="138"/>
      <c r="H23" s="141"/>
      <c r="I23" s="138"/>
      <c r="J23" s="138"/>
      <c r="K23" s="138"/>
      <c r="M23" s="165"/>
      <c r="N23" s="165"/>
      <c r="O23" s="105"/>
      <c r="P23" s="105"/>
      <c r="Q23" s="105"/>
      <c r="R23" s="105"/>
      <c r="S23" s="105"/>
      <c r="T23" s="105"/>
      <c r="U23" s="165"/>
    </row>
    <row r="24" spans="1:21">
      <c r="A24" s="136" t="s">
        <v>524</v>
      </c>
      <c r="B24" s="141">
        <f>+'2007 Stlgt Rates'!F19</f>
        <v>6.54</v>
      </c>
      <c r="C24" s="138">
        <f>+'Schedule 1'!C13</f>
        <v>269</v>
      </c>
      <c r="D24" s="138">
        <f t="shared" ref="D24:D31" si="0">ROUND(B24*C24*12,0)</f>
        <v>21111</v>
      </c>
      <c r="E24" s="141">
        <f>+'2007 Stlgt Rates'!G19</f>
        <v>1.25</v>
      </c>
      <c r="F24" s="138">
        <f t="shared" ref="F24:F31" si="1">+C24</f>
        <v>269</v>
      </c>
      <c r="G24" s="138">
        <f t="shared" ref="G24:G31" si="2">ROUND(E24*F24*12,0)</f>
        <v>4035</v>
      </c>
      <c r="H24" s="141">
        <f>+'2007 Stlgt Rates'!H19</f>
        <v>3.6599999999999993</v>
      </c>
      <c r="I24" s="138">
        <f t="shared" ref="I24:I31" si="3">+F24</f>
        <v>269</v>
      </c>
      <c r="J24" s="138">
        <f t="shared" ref="J24:J31" si="4">ROUND(H24*I24*12,0)</f>
        <v>11814</v>
      </c>
      <c r="K24" s="138">
        <f t="shared" ref="K24:K31" si="5">+D24+G24+J24</f>
        <v>36960</v>
      </c>
      <c r="M24" s="165">
        <f t="shared" ref="M24:M31" si="6">+I24</f>
        <v>269</v>
      </c>
      <c r="N24" s="165">
        <v>43</v>
      </c>
      <c r="O24" s="165">
        <f t="shared" ref="O24:O31" si="7">M24*N24</f>
        <v>11567</v>
      </c>
      <c r="P24" s="166">
        <f t="shared" ref="P24:P31" si="8">O24*12</f>
        <v>138804</v>
      </c>
      <c r="Q24" s="105"/>
      <c r="R24" s="108">
        <f>+'Rates 2007 01 01'!D21</f>
        <v>4.99</v>
      </c>
      <c r="S24" s="166">
        <f t="shared" ref="S24:S31" si="9">+M24</f>
        <v>269</v>
      </c>
      <c r="T24" s="138">
        <f t="shared" ref="T24:T31" si="10">R24*S24*12</f>
        <v>16107.72</v>
      </c>
      <c r="U24" s="165">
        <f t="shared" ref="U24:U31" si="11">T24-D24</f>
        <v>-5003.2800000000007</v>
      </c>
    </row>
    <row r="25" spans="1:21">
      <c r="A25" s="136" t="s">
        <v>525</v>
      </c>
      <c r="B25" s="141">
        <f>+'2007 Stlgt Rates'!F20</f>
        <v>7.88</v>
      </c>
      <c r="C25" s="138">
        <f>+'Schedule 1'!C14</f>
        <v>11962</v>
      </c>
      <c r="D25" s="138">
        <f t="shared" si="0"/>
        <v>1131127</v>
      </c>
      <c r="E25" s="141">
        <f>+'2007 Stlgt Rates'!G20</f>
        <v>1.66</v>
      </c>
      <c r="F25" s="138">
        <f t="shared" si="1"/>
        <v>11962</v>
      </c>
      <c r="G25" s="138">
        <f t="shared" si="2"/>
        <v>238283</v>
      </c>
      <c r="H25" s="141">
        <f>+'2007 Stlgt Rates'!H20</f>
        <v>3.6900000000000004</v>
      </c>
      <c r="I25" s="138">
        <f t="shared" si="3"/>
        <v>11962</v>
      </c>
      <c r="J25" s="138">
        <f t="shared" si="4"/>
        <v>529677</v>
      </c>
      <c r="K25" s="138">
        <f t="shared" si="5"/>
        <v>1899087</v>
      </c>
      <c r="M25" s="165">
        <f t="shared" si="6"/>
        <v>11962</v>
      </c>
      <c r="N25" s="165">
        <v>52</v>
      </c>
      <c r="O25" s="165">
        <f t="shared" si="7"/>
        <v>622024</v>
      </c>
      <c r="P25" s="166">
        <f t="shared" si="8"/>
        <v>7464288</v>
      </c>
      <c r="Q25" s="105"/>
      <c r="R25" s="108">
        <f>+'Rates 2007 01 01'!D22</f>
        <v>6.03</v>
      </c>
      <c r="S25" s="166">
        <f t="shared" si="9"/>
        <v>11962</v>
      </c>
      <c r="T25" s="138">
        <f t="shared" si="10"/>
        <v>865570.32000000007</v>
      </c>
      <c r="U25" s="165">
        <f t="shared" si="11"/>
        <v>-265556.67999999993</v>
      </c>
    </row>
    <row r="26" spans="1:21">
      <c r="A26" s="136" t="s">
        <v>526</v>
      </c>
      <c r="B26" s="141">
        <f>+'2007 Stlgt Rates'!F22</f>
        <v>10.49</v>
      </c>
      <c r="C26" s="138">
        <f>+'Schedule 1'!C15</f>
        <v>3150</v>
      </c>
      <c r="D26" s="138">
        <f t="shared" si="0"/>
        <v>396522</v>
      </c>
      <c r="E26" s="141">
        <f>+'2007 Stlgt Rates'!G22</f>
        <v>1.25</v>
      </c>
      <c r="F26" s="138">
        <f t="shared" si="1"/>
        <v>3150</v>
      </c>
      <c r="G26" s="138">
        <f t="shared" si="2"/>
        <v>47250</v>
      </c>
      <c r="H26" s="141">
        <f>+'2007 Stlgt Rates'!H22</f>
        <v>3.8499999999999996</v>
      </c>
      <c r="I26" s="138">
        <f t="shared" si="3"/>
        <v>3150</v>
      </c>
      <c r="J26" s="138">
        <f t="shared" si="4"/>
        <v>145530</v>
      </c>
      <c r="K26" s="138">
        <f t="shared" si="5"/>
        <v>589302</v>
      </c>
      <c r="M26" s="165">
        <f t="shared" si="6"/>
        <v>3150</v>
      </c>
      <c r="N26" s="165">
        <v>69</v>
      </c>
      <c r="O26" s="165">
        <f t="shared" si="7"/>
        <v>217350</v>
      </c>
      <c r="P26" s="166">
        <f t="shared" si="8"/>
        <v>2608200</v>
      </c>
      <c r="Q26" s="105"/>
      <c r="R26" s="108">
        <f>+'Rates 2007 01 01'!D23</f>
        <v>8</v>
      </c>
      <c r="S26" s="166">
        <f t="shared" si="9"/>
        <v>3150</v>
      </c>
      <c r="T26" s="138">
        <f t="shared" si="10"/>
        <v>302400</v>
      </c>
      <c r="U26" s="165">
        <f t="shared" si="11"/>
        <v>-94122</v>
      </c>
    </row>
    <row r="27" spans="1:21">
      <c r="A27" s="136" t="s">
        <v>527</v>
      </c>
      <c r="B27" s="141">
        <f>+'2007 Stlgt Rates'!F24</f>
        <v>14.72</v>
      </c>
      <c r="C27" s="138">
        <f>+'Schedule 1'!C16</f>
        <v>1149</v>
      </c>
      <c r="D27" s="138">
        <f t="shared" si="0"/>
        <v>202959</v>
      </c>
      <c r="E27" s="141">
        <f>+'2007 Stlgt Rates'!G24</f>
        <v>1.25</v>
      </c>
      <c r="F27" s="138">
        <f t="shared" si="1"/>
        <v>1149</v>
      </c>
      <c r="G27" s="138">
        <f t="shared" si="2"/>
        <v>17235</v>
      </c>
      <c r="H27" s="141">
        <f>+'2007 Stlgt Rates'!H24</f>
        <v>3.9399999999999995</v>
      </c>
      <c r="I27" s="138">
        <f t="shared" si="3"/>
        <v>1149</v>
      </c>
      <c r="J27" s="138">
        <f t="shared" si="4"/>
        <v>54325</v>
      </c>
      <c r="K27" s="138">
        <f t="shared" si="5"/>
        <v>274519</v>
      </c>
      <c r="M27" s="165">
        <f t="shared" si="6"/>
        <v>1149</v>
      </c>
      <c r="N27" s="165">
        <v>97</v>
      </c>
      <c r="O27" s="165">
        <f t="shared" si="7"/>
        <v>111453</v>
      </c>
      <c r="P27" s="166">
        <f t="shared" si="8"/>
        <v>1337436</v>
      </c>
      <c r="Q27" s="105"/>
      <c r="R27" s="108">
        <f>+'Rates 2007 01 01'!D24</f>
        <v>11.25</v>
      </c>
      <c r="S27" s="166">
        <f t="shared" si="9"/>
        <v>1149</v>
      </c>
      <c r="T27" s="138">
        <f t="shared" si="10"/>
        <v>155115</v>
      </c>
      <c r="U27" s="165">
        <f t="shared" si="11"/>
        <v>-47844</v>
      </c>
    </row>
    <row r="28" spans="1:21">
      <c r="A28" s="136" t="s">
        <v>528</v>
      </c>
      <c r="B28" s="141">
        <f>+'2007 Stlgt Rates'!F27</f>
        <v>23.36</v>
      </c>
      <c r="C28" s="138">
        <f>+'Schedule 1'!C17</f>
        <v>1484</v>
      </c>
      <c r="D28" s="138">
        <f t="shared" si="0"/>
        <v>415995</v>
      </c>
      <c r="E28" s="141">
        <f>+'2007 Stlgt Rates'!G27</f>
        <v>1.25</v>
      </c>
      <c r="F28" s="138">
        <f t="shared" si="1"/>
        <v>1484</v>
      </c>
      <c r="G28" s="138">
        <f t="shared" si="2"/>
        <v>22260</v>
      </c>
      <c r="H28" s="141">
        <f>+'2007 Stlgt Rates'!H27</f>
        <v>4.4400000000000013</v>
      </c>
      <c r="I28" s="138">
        <f t="shared" si="3"/>
        <v>1484</v>
      </c>
      <c r="J28" s="138">
        <f t="shared" si="4"/>
        <v>79068</v>
      </c>
      <c r="K28" s="138">
        <f t="shared" si="5"/>
        <v>517323</v>
      </c>
      <c r="M28" s="165">
        <f t="shared" si="6"/>
        <v>1484</v>
      </c>
      <c r="N28" s="165">
        <v>154</v>
      </c>
      <c r="O28" s="165">
        <f t="shared" si="7"/>
        <v>228536</v>
      </c>
      <c r="P28" s="166">
        <f t="shared" si="8"/>
        <v>2742432</v>
      </c>
      <c r="Q28" s="105"/>
      <c r="R28" s="108">
        <f>+'Rates 2007 01 01'!D25</f>
        <v>17.86</v>
      </c>
      <c r="S28" s="166">
        <f t="shared" si="9"/>
        <v>1484</v>
      </c>
      <c r="T28" s="138">
        <f t="shared" si="10"/>
        <v>318050.88</v>
      </c>
      <c r="U28" s="165">
        <f t="shared" si="11"/>
        <v>-97944.12</v>
      </c>
    </row>
    <row r="29" spans="1:21">
      <c r="A29" s="136" t="s">
        <v>529</v>
      </c>
      <c r="B29" s="141">
        <f>+'2007 Stlgt Rates'!F29</f>
        <v>39.450000000000003</v>
      </c>
      <c r="C29" s="138">
        <f>+'Schedule 1'!C18</f>
        <v>12</v>
      </c>
      <c r="D29" s="138">
        <f t="shared" si="0"/>
        <v>5681</v>
      </c>
      <c r="E29" s="141">
        <f>+'2007 Stlgt Rates'!G29</f>
        <v>1.25</v>
      </c>
      <c r="F29" s="138">
        <f t="shared" si="1"/>
        <v>12</v>
      </c>
      <c r="G29" s="138">
        <f t="shared" si="2"/>
        <v>180</v>
      </c>
      <c r="H29" s="141">
        <f>+'2007 Stlgt Rates'!H29</f>
        <v>13.729999999999997</v>
      </c>
      <c r="I29" s="138">
        <f t="shared" si="3"/>
        <v>12</v>
      </c>
      <c r="J29" s="138">
        <f t="shared" si="4"/>
        <v>1977</v>
      </c>
      <c r="K29" s="138">
        <f t="shared" si="5"/>
        <v>7838</v>
      </c>
      <c r="M29" s="165">
        <f t="shared" si="6"/>
        <v>12</v>
      </c>
      <c r="N29" s="165">
        <v>260</v>
      </c>
      <c r="O29" s="165">
        <f t="shared" si="7"/>
        <v>3120</v>
      </c>
      <c r="P29" s="166">
        <f t="shared" si="8"/>
        <v>37440</v>
      </c>
      <c r="Q29" s="105"/>
      <c r="R29" s="108">
        <f>+'Rates 2007 01 01'!D26</f>
        <v>30.15</v>
      </c>
      <c r="S29" s="166">
        <f t="shared" si="9"/>
        <v>12</v>
      </c>
      <c r="T29" s="138">
        <f t="shared" si="10"/>
        <v>4341.5999999999995</v>
      </c>
      <c r="U29" s="165">
        <f t="shared" si="11"/>
        <v>-1339.4000000000005</v>
      </c>
    </row>
    <row r="30" spans="1:21">
      <c r="A30" s="136" t="s">
        <v>530</v>
      </c>
      <c r="B30" s="141">
        <f>+'2007 Stlgt Rates'!F31</f>
        <v>55.06</v>
      </c>
      <c r="C30" s="138">
        <f>+'Schedule 1'!C19</f>
        <v>76</v>
      </c>
      <c r="D30" s="138">
        <f t="shared" si="0"/>
        <v>50215</v>
      </c>
      <c r="E30" s="141">
        <f>+'2007 Stlgt Rates'!G31</f>
        <v>1.25</v>
      </c>
      <c r="F30" s="138">
        <f t="shared" si="1"/>
        <v>76</v>
      </c>
      <c r="G30" s="138">
        <f t="shared" si="2"/>
        <v>1140</v>
      </c>
      <c r="H30" s="141">
        <f>+'2007 Stlgt Rates'!H31</f>
        <v>13.920000000000002</v>
      </c>
      <c r="I30" s="138">
        <f t="shared" si="3"/>
        <v>76</v>
      </c>
      <c r="J30" s="138">
        <f t="shared" si="4"/>
        <v>12695</v>
      </c>
      <c r="K30" s="138">
        <f t="shared" si="5"/>
        <v>64050</v>
      </c>
      <c r="M30" s="165">
        <f t="shared" si="6"/>
        <v>76</v>
      </c>
      <c r="N30" s="165">
        <v>363</v>
      </c>
      <c r="O30" s="165">
        <f t="shared" si="7"/>
        <v>27588</v>
      </c>
      <c r="P30" s="166">
        <f t="shared" si="8"/>
        <v>331056</v>
      </c>
      <c r="Q30" s="105"/>
      <c r="R30" s="108">
        <f>+'Rates 2007 01 01'!D27</f>
        <v>42.09</v>
      </c>
      <c r="S30" s="166">
        <f t="shared" si="9"/>
        <v>76</v>
      </c>
      <c r="T30" s="138">
        <f t="shared" si="10"/>
        <v>38386.080000000002</v>
      </c>
      <c r="U30" s="165">
        <f t="shared" si="11"/>
        <v>-11828.919999999998</v>
      </c>
    </row>
    <row r="31" spans="1:21">
      <c r="A31" s="136" t="s">
        <v>531</v>
      </c>
      <c r="B31" s="141">
        <f>+'2007 Stlgt Rates'!F25</f>
        <v>23.98</v>
      </c>
      <c r="C31" s="138">
        <f>+'Schedule 1'!C20</f>
        <v>5</v>
      </c>
      <c r="D31" s="138">
        <f t="shared" si="0"/>
        <v>1439</v>
      </c>
      <c r="E31" s="141">
        <f>+'2007 Stlgt Rates'!G25</f>
        <v>2.52</v>
      </c>
      <c r="F31" s="138">
        <f t="shared" si="1"/>
        <v>5</v>
      </c>
      <c r="G31" s="138">
        <f t="shared" si="2"/>
        <v>151</v>
      </c>
      <c r="H31" s="141">
        <f>+'2007 Stlgt Rates'!H25</f>
        <v>3.9200000000000013</v>
      </c>
      <c r="I31" s="138">
        <f t="shared" si="3"/>
        <v>5</v>
      </c>
      <c r="J31" s="138">
        <f t="shared" si="4"/>
        <v>235</v>
      </c>
      <c r="K31" s="138">
        <f t="shared" si="5"/>
        <v>1825</v>
      </c>
      <c r="M31" s="165">
        <f t="shared" si="6"/>
        <v>5</v>
      </c>
      <c r="N31" s="165">
        <v>212</v>
      </c>
      <c r="O31" s="165">
        <f t="shared" si="7"/>
        <v>1060</v>
      </c>
      <c r="P31" s="166">
        <f t="shared" si="8"/>
        <v>12720</v>
      </c>
      <c r="Q31" s="105"/>
      <c r="R31" s="108">
        <f>+'Rates 2007 01 01'!D28</f>
        <v>19.14</v>
      </c>
      <c r="S31" s="166">
        <f t="shared" si="9"/>
        <v>5</v>
      </c>
      <c r="T31" s="138">
        <f t="shared" si="10"/>
        <v>1148.4000000000001</v>
      </c>
      <c r="U31" s="165">
        <f t="shared" si="11"/>
        <v>-290.59999999999991</v>
      </c>
    </row>
    <row r="32" spans="1:21">
      <c r="A32" s="126"/>
      <c r="B32" s="141"/>
      <c r="C32" s="138"/>
      <c r="D32" s="138"/>
      <c r="E32" s="141"/>
      <c r="F32" s="138"/>
      <c r="G32" s="138"/>
      <c r="H32" s="141"/>
      <c r="I32" s="138"/>
      <c r="J32" s="138"/>
      <c r="K32" s="138"/>
      <c r="M32" s="165"/>
      <c r="N32" s="165"/>
      <c r="O32" s="105"/>
      <c r="P32" s="105"/>
      <c r="Q32" s="105"/>
      <c r="R32" s="108"/>
      <c r="S32" s="105"/>
      <c r="T32" s="105"/>
      <c r="U32" s="165"/>
    </row>
    <row r="33" spans="1:21">
      <c r="A33" s="136" t="s">
        <v>532</v>
      </c>
      <c r="B33" s="141">
        <f>+'2007 Stlgt Rates'!F21</f>
        <v>7.89</v>
      </c>
      <c r="C33" s="138">
        <f>+'Schedule 1'!D14</f>
        <v>9</v>
      </c>
      <c r="D33" s="138">
        <f t="shared" ref="D33:D38" si="12">ROUND(B33*C33*12,0)</f>
        <v>852</v>
      </c>
      <c r="E33" s="141">
        <f>+'2007 Stlgt Rates'!G21</f>
        <v>1.66</v>
      </c>
      <c r="F33" s="138">
        <f t="shared" ref="F33:F38" si="13">+C33</f>
        <v>9</v>
      </c>
      <c r="G33" s="138">
        <f t="shared" ref="G33:G38" si="14">ROUND(E33*F33*12,0)</f>
        <v>179</v>
      </c>
      <c r="H33" s="141">
        <v>0</v>
      </c>
      <c r="I33" s="138">
        <f t="shared" ref="I33:I38" si="15">+F33</f>
        <v>9</v>
      </c>
      <c r="J33" s="138">
        <f t="shared" ref="J33:J38" si="16">ROUND(H33*I33*12,0)</f>
        <v>0</v>
      </c>
      <c r="K33" s="138">
        <f t="shared" ref="K33:K38" si="17">+D33+G33+J33</f>
        <v>1031</v>
      </c>
      <c r="M33" s="165">
        <f t="shared" ref="M33:M38" si="18">+I33</f>
        <v>9</v>
      </c>
      <c r="N33" s="165">
        <v>52</v>
      </c>
      <c r="O33" s="165">
        <f t="shared" ref="O33:O38" si="19">M33*N33</f>
        <v>468</v>
      </c>
      <c r="P33" s="166">
        <f t="shared" ref="P33:P38" si="20">O33*12</f>
        <v>5616</v>
      </c>
      <c r="Q33" s="105"/>
      <c r="R33" s="108">
        <f>+'Rates 2007 01 01'!D30</f>
        <v>6.03</v>
      </c>
      <c r="S33" s="166">
        <f t="shared" ref="S33:S38" si="21">+M33</f>
        <v>9</v>
      </c>
      <c r="T33" s="138">
        <f t="shared" ref="T33:T38" si="22">R33*S33*12</f>
        <v>651.24</v>
      </c>
      <c r="U33" s="165">
        <f t="shared" ref="U33:U38" si="23">T33-D33</f>
        <v>-200.76</v>
      </c>
    </row>
    <row r="34" spans="1:21">
      <c r="A34" s="136" t="s">
        <v>533</v>
      </c>
      <c r="B34" s="141">
        <f>+'2007 Stlgt Rates'!F23</f>
        <v>10.5</v>
      </c>
      <c r="C34" s="138">
        <f>+'Schedule 1'!D15</f>
        <v>24</v>
      </c>
      <c r="D34" s="138">
        <f t="shared" si="12"/>
        <v>3024</v>
      </c>
      <c r="E34" s="141">
        <f>+'2007 Stlgt Rates'!G23</f>
        <v>1.25</v>
      </c>
      <c r="F34" s="138">
        <f t="shared" si="13"/>
        <v>24</v>
      </c>
      <c r="G34" s="138">
        <f t="shared" si="14"/>
        <v>360</v>
      </c>
      <c r="H34" s="141">
        <v>0</v>
      </c>
      <c r="I34" s="138">
        <f t="shared" si="15"/>
        <v>24</v>
      </c>
      <c r="J34" s="138">
        <f t="shared" si="16"/>
        <v>0</v>
      </c>
      <c r="K34" s="138">
        <f t="shared" si="17"/>
        <v>3384</v>
      </c>
      <c r="M34" s="165">
        <f t="shared" si="18"/>
        <v>24</v>
      </c>
      <c r="N34" s="165">
        <v>69</v>
      </c>
      <c r="O34" s="165">
        <f t="shared" si="19"/>
        <v>1656</v>
      </c>
      <c r="P34" s="166">
        <f t="shared" si="20"/>
        <v>19872</v>
      </c>
      <c r="Q34" s="105"/>
      <c r="R34" s="108">
        <f>+'Rates 2007 01 01'!D31</f>
        <v>8</v>
      </c>
      <c r="S34" s="166">
        <f t="shared" si="21"/>
        <v>24</v>
      </c>
      <c r="T34" s="138">
        <f t="shared" si="22"/>
        <v>2304</v>
      </c>
      <c r="U34" s="165">
        <f t="shared" si="23"/>
        <v>-720</v>
      </c>
    </row>
    <row r="35" spans="1:21">
      <c r="A35" s="136" t="s">
        <v>534</v>
      </c>
      <c r="B35" s="141">
        <f>+'2007 Stlgt Rates'!F26</f>
        <v>14.72</v>
      </c>
      <c r="C35" s="138">
        <f>+'Schedule 1'!D16</f>
        <v>34</v>
      </c>
      <c r="D35" s="138">
        <f t="shared" si="12"/>
        <v>6006</v>
      </c>
      <c r="E35" s="141">
        <f>+'2007 Stlgt Rates'!G26</f>
        <v>1.25</v>
      </c>
      <c r="F35" s="138">
        <f t="shared" si="13"/>
        <v>34</v>
      </c>
      <c r="G35" s="138">
        <f t="shared" si="14"/>
        <v>510</v>
      </c>
      <c r="H35" s="141">
        <v>0</v>
      </c>
      <c r="I35" s="138">
        <f t="shared" si="15"/>
        <v>34</v>
      </c>
      <c r="J35" s="138">
        <f t="shared" si="16"/>
        <v>0</v>
      </c>
      <c r="K35" s="138">
        <f t="shared" si="17"/>
        <v>6516</v>
      </c>
      <c r="M35" s="165">
        <f t="shared" si="18"/>
        <v>34</v>
      </c>
      <c r="N35" s="165">
        <v>97</v>
      </c>
      <c r="O35" s="165">
        <f t="shared" si="19"/>
        <v>3298</v>
      </c>
      <c r="P35" s="166">
        <f t="shared" si="20"/>
        <v>39576</v>
      </c>
      <c r="Q35" s="105"/>
      <c r="R35" s="108">
        <f>+'Rates 2007 01 01'!D32</f>
        <v>11.25</v>
      </c>
      <c r="S35" s="166">
        <f t="shared" si="21"/>
        <v>34</v>
      </c>
      <c r="T35" s="138">
        <f t="shared" si="22"/>
        <v>4590</v>
      </c>
      <c r="U35" s="165">
        <f t="shared" si="23"/>
        <v>-1416</v>
      </c>
    </row>
    <row r="36" spans="1:21">
      <c r="A36" s="136" t="s">
        <v>535</v>
      </c>
      <c r="B36" s="141">
        <f>+'2007 Stlgt Rates'!F28</f>
        <v>23.36</v>
      </c>
      <c r="C36" s="138">
        <f>+'Schedule 1'!D17</f>
        <v>10</v>
      </c>
      <c r="D36" s="138">
        <f t="shared" si="12"/>
        <v>2803</v>
      </c>
      <c r="E36" s="141">
        <f>+'2007 Stlgt Rates'!G28</f>
        <v>1.25</v>
      </c>
      <c r="F36" s="138">
        <f t="shared" si="13"/>
        <v>10</v>
      </c>
      <c r="G36" s="138">
        <f t="shared" si="14"/>
        <v>150</v>
      </c>
      <c r="H36" s="141">
        <v>0</v>
      </c>
      <c r="I36" s="138">
        <f t="shared" si="15"/>
        <v>10</v>
      </c>
      <c r="J36" s="138">
        <f t="shared" si="16"/>
        <v>0</v>
      </c>
      <c r="K36" s="138">
        <f t="shared" si="17"/>
        <v>2953</v>
      </c>
      <c r="M36" s="165">
        <f t="shared" si="18"/>
        <v>10</v>
      </c>
      <c r="N36" s="165">
        <v>154</v>
      </c>
      <c r="O36" s="165">
        <f t="shared" si="19"/>
        <v>1540</v>
      </c>
      <c r="P36" s="166">
        <f t="shared" si="20"/>
        <v>18480</v>
      </c>
      <c r="Q36" s="105"/>
      <c r="R36" s="108">
        <f>+'Rates 2007 01 01'!D33</f>
        <v>17.86</v>
      </c>
      <c r="S36" s="166">
        <f t="shared" si="21"/>
        <v>10</v>
      </c>
      <c r="T36" s="138">
        <f t="shared" si="22"/>
        <v>2143.1999999999998</v>
      </c>
      <c r="U36" s="165">
        <f t="shared" si="23"/>
        <v>-659.80000000000018</v>
      </c>
    </row>
    <row r="37" spans="1:21">
      <c r="A37" s="136" t="s">
        <v>536</v>
      </c>
      <c r="B37" s="141">
        <f>+'2007 Stlgt Rates'!F29</f>
        <v>39.450000000000003</v>
      </c>
      <c r="C37" s="138">
        <f>+'Schedule 1'!D18</f>
        <v>0</v>
      </c>
      <c r="D37" s="138">
        <f t="shared" si="12"/>
        <v>0</v>
      </c>
      <c r="E37" s="141">
        <f>+'2007 Stlgt Rates'!G30</f>
        <v>1.25</v>
      </c>
      <c r="F37" s="138">
        <f t="shared" si="13"/>
        <v>0</v>
      </c>
      <c r="G37" s="138">
        <f t="shared" si="14"/>
        <v>0</v>
      </c>
      <c r="H37" s="141">
        <v>0</v>
      </c>
      <c r="I37" s="138">
        <f t="shared" si="15"/>
        <v>0</v>
      </c>
      <c r="J37" s="138">
        <f t="shared" si="16"/>
        <v>0</v>
      </c>
      <c r="K37" s="138">
        <f t="shared" si="17"/>
        <v>0</v>
      </c>
      <c r="M37" s="165">
        <f t="shared" si="18"/>
        <v>0</v>
      </c>
      <c r="N37" s="165">
        <v>260</v>
      </c>
      <c r="O37" s="165">
        <f t="shared" si="19"/>
        <v>0</v>
      </c>
      <c r="P37" s="166">
        <f t="shared" si="20"/>
        <v>0</v>
      </c>
      <c r="Q37" s="105"/>
      <c r="R37" s="108">
        <f>+'Rates 2007 01 01'!D34</f>
        <v>30.15</v>
      </c>
      <c r="S37" s="166">
        <f t="shared" si="21"/>
        <v>0</v>
      </c>
      <c r="T37" s="138">
        <f t="shared" si="22"/>
        <v>0</v>
      </c>
      <c r="U37" s="165">
        <f t="shared" si="23"/>
        <v>0</v>
      </c>
    </row>
    <row r="38" spans="1:21">
      <c r="A38" s="136" t="s">
        <v>537</v>
      </c>
      <c r="B38" s="141">
        <f>+'2007 Stlgt Rates'!F32</f>
        <v>55.07</v>
      </c>
      <c r="C38" s="138">
        <f>+'Schedule 1'!D19</f>
        <v>17</v>
      </c>
      <c r="D38" s="138">
        <f t="shared" si="12"/>
        <v>11234</v>
      </c>
      <c r="E38" s="141">
        <f>+'2007 Stlgt Rates'!G32</f>
        <v>1.25</v>
      </c>
      <c r="F38" s="138">
        <f t="shared" si="13"/>
        <v>17</v>
      </c>
      <c r="G38" s="138">
        <f t="shared" si="14"/>
        <v>255</v>
      </c>
      <c r="H38" s="141">
        <v>0</v>
      </c>
      <c r="I38" s="138">
        <f t="shared" si="15"/>
        <v>17</v>
      </c>
      <c r="J38" s="138">
        <f t="shared" si="16"/>
        <v>0</v>
      </c>
      <c r="K38" s="138">
        <f t="shared" si="17"/>
        <v>11489</v>
      </c>
      <c r="M38" s="165">
        <f t="shared" si="18"/>
        <v>17</v>
      </c>
      <c r="N38" s="165">
        <v>363</v>
      </c>
      <c r="O38" s="165">
        <f t="shared" si="19"/>
        <v>6171</v>
      </c>
      <c r="P38" s="166">
        <f t="shared" si="20"/>
        <v>74052</v>
      </c>
      <c r="Q38" s="105"/>
      <c r="R38" s="108">
        <f>+'Rates 2007 01 01'!D35</f>
        <v>42.09</v>
      </c>
      <c r="S38" s="166">
        <f t="shared" si="21"/>
        <v>17</v>
      </c>
      <c r="T38" s="138">
        <f t="shared" si="22"/>
        <v>8586.36</v>
      </c>
      <c r="U38" s="165">
        <f t="shared" si="23"/>
        <v>-2647.6399999999994</v>
      </c>
    </row>
    <row r="39" spans="1:21">
      <c r="A39" s="126"/>
      <c r="B39" s="141"/>
      <c r="C39" s="138"/>
      <c r="D39" s="138"/>
      <c r="E39" s="141"/>
      <c r="F39" s="138"/>
      <c r="G39" s="138"/>
      <c r="H39" s="141"/>
      <c r="I39" s="138"/>
      <c r="J39" s="138"/>
      <c r="K39" s="138"/>
      <c r="M39" s="165"/>
      <c r="N39" s="165"/>
      <c r="O39" s="105"/>
      <c r="P39" s="105"/>
      <c r="Q39" s="105"/>
      <c r="R39" s="108"/>
      <c r="S39" s="105"/>
      <c r="T39" s="105"/>
      <c r="U39" s="165"/>
    </row>
    <row r="40" spans="1:21">
      <c r="A40" s="142" t="s">
        <v>538</v>
      </c>
      <c r="B40" s="143">
        <f>+'2007 Stlgt Rates'!F123</f>
        <v>6.0055108000000006</v>
      </c>
      <c r="C40" s="153">
        <f>+'Schedule 1'!E14</f>
        <v>11</v>
      </c>
      <c r="D40" s="153">
        <f t="shared" ref="D40:D45" si="24">ROUND(B40*C40*12,0)</f>
        <v>793</v>
      </c>
      <c r="E40" s="143">
        <v>0</v>
      </c>
      <c r="F40" s="153">
        <f t="shared" ref="F40:F45" si="25">+C40</f>
        <v>11</v>
      </c>
      <c r="G40" s="153">
        <f t="shared" ref="G40:G45" si="26">ROUND(E40*F40*12,0)</f>
        <v>0</v>
      </c>
      <c r="H40" s="143">
        <v>0</v>
      </c>
      <c r="I40" s="153">
        <f t="shared" ref="I40:I45" si="27">+F40</f>
        <v>11</v>
      </c>
      <c r="J40" s="153">
        <f t="shared" ref="J40:J45" si="28">ROUND(H40*I40*12,0)</f>
        <v>0</v>
      </c>
      <c r="K40" s="153">
        <f t="shared" ref="K40:K45" si="29">+D40+G40+J40</f>
        <v>793</v>
      </c>
      <c r="M40" s="145">
        <f t="shared" ref="M40:M45" si="30">+I40</f>
        <v>11</v>
      </c>
      <c r="N40" s="145">
        <v>52</v>
      </c>
      <c r="O40" s="145">
        <f t="shared" ref="O40:O45" si="31">M40*N40</f>
        <v>572</v>
      </c>
      <c r="P40" s="146">
        <f t="shared" ref="P40:P45" si="32">O40*12</f>
        <v>6864</v>
      </c>
      <c r="Q40" s="105"/>
      <c r="R40" s="97">
        <f>+'Rates 2007 01 01'!D37</f>
        <v>6.03</v>
      </c>
      <c r="S40" s="223">
        <f t="shared" ref="S40:S45" si="33">+M40</f>
        <v>11</v>
      </c>
      <c r="T40" s="224">
        <f t="shared" ref="T40:T45" si="34">R40*S40*12</f>
        <v>795.96</v>
      </c>
      <c r="U40" s="225">
        <f t="shared" ref="U40:U45" si="35">T40-D40</f>
        <v>2.9600000000000364</v>
      </c>
    </row>
    <row r="41" spans="1:21">
      <c r="A41" s="142" t="s">
        <v>539</v>
      </c>
      <c r="B41" s="143">
        <f>+'2007 Stlgt Rates'!F124</f>
        <v>7.9882992000000002</v>
      </c>
      <c r="C41" s="153">
        <f>+'Schedule 1'!E15</f>
        <v>153</v>
      </c>
      <c r="D41" s="153">
        <f t="shared" si="24"/>
        <v>14667</v>
      </c>
      <c r="E41" s="143">
        <v>0</v>
      </c>
      <c r="F41" s="153">
        <f t="shared" si="25"/>
        <v>153</v>
      </c>
      <c r="G41" s="153">
        <f t="shared" si="26"/>
        <v>0</v>
      </c>
      <c r="H41" s="143">
        <v>0</v>
      </c>
      <c r="I41" s="153">
        <f t="shared" si="27"/>
        <v>153</v>
      </c>
      <c r="J41" s="153">
        <f t="shared" si="28"/>
        <v>0</v>
      </c>
      <c r="K41" s="153">
        <f t="shared" si="29"/>
        <v>14667</v>
      </c>
      <c r="M41" s="145">
        <f t="shared" si="30"/>
        <v>153</v>
      </c>
      <c r="N41" s="145">
        <v>69</v>
      </c>
      <c r="O41" s="145">
        <f t="shared" si="31"/>
        <v>10557</v>
      </c>
      <c r="P41" s="146">
        <f t="shared" si="32"/>
        <v>126684</v>
      </c>
      <c r="Q41" s="105"/>
      <c r="R41" s="97">
        <f>+'Rates 2007 01 01'!D38</f>
        <v>8</v>
      </c>
      <c r="S41" s="223">
        <f t="shared" si="33"/>
        <v>153</v>
      </c>
      <c r="T41" s="224">
        <f t="shared" si="34"/>
        <v>14688</v>
      </c>
      <c r="U41" s="225">
        <f t="shared" si="35"/>
        <v>21</v>
      </c>
    </row>
    <row r="42" spans="1:21">
      <c r="A42" s="142" t="s">
        <v>540</v>
      </c>
      <c r="B42" s="143">
        <f>+'2007 Stlgt Rates'!F125</f>
        <v>11.246684399999999</v>
      </c>
      <c r="C42" s="153">
        <f>+'Schedule 1'!E16</f>
        <v>54</v>
      </c>
      <c r="D42" s="153">
        <f t="shared" si="24"/>
        <v>7288</v>
      </c>
      <c r="E42" s="143">
        <v>0</v>
      </c>
      <c r="F42" s="153">
        <f t="shared" si="25"/>
        <v>54</v>
      </c>
      <c r="G42" s="153">
        <f t="shared" si="26"/>
        <v>0</v>
      </c>
      <c r="H42" s="143">
        <v>0</v>
      </c>
      <c r="I42" s="153">
        <f t="shared" si="27"/>
        <v>54</v>
      </c>
      <c r="J42" s="153">
        <f t="shared" si="28"/>
        <v>0</v>
      </c>
      <c r="K42" s="153">
        <f t="shared" si="29"/>
        <v>7288</v>
      </c>
      <c r="M42" s="145">
        <f t="shared" si="30"/>
        <v>54</v>
      </c>
      <c r="N42" s="145">
        <v>97</v>
      </c>
      <c r="O42" s="145">
        <f t="shared" si="31"/>
        <v>5238</v>
      </c>
      <c r="P42" s="146">
        <f t="shared" si="32"/>
        <v>62856</v>
      </c>
      <c r="Q42" s="105"/>
      <c r="R42" s="97">
        <f>+'Rates 2007 01 01'!D39</f>
        <v>11.25</v>
      </c>
      <c r="S42" s="223">
        <f t="shared" si="33"/>
        <v>54</v>
      </c>
      <c r="T42" s="224">
        <f t="shared" si="34"/>
        <v>7290</v>
      </c>
      <c r="U42" s="225">
        <f t="shared" si="35"/>
        <v>2</v>
      </c>
    </row>
    <row r="43" spans="1:21">
      <c r="A43" s="142" t="s">
        <v>541</v>
      </c>
      <c r="B43" s="143">
        <f>+'2007 Stlgt Rates'!F126</f>
        <v>17.856885199999997</v>
      </c>
      <c r="C43" s="153">
        <f>+'Schedule 1'!E17</f>
        <v>16</v>
      </c>
      <c r="D43" s="153">
        <f t="shared" si="24"/>
        <v>3429</v>
      </c>
      <c r="E43" s="143">
        <v>0</v>
      </c>
      <c r="F43" s="153">
        <f t="shared" si="25"/>
        <v>16</v>
      </c>
      <c r="G43" s="153">
        <f t="shared" si="26"/>
        <v>0</v>
      </c>
      <c r="H43" s="143">
        <v>0</v>
      </c>
      <c r="I43" s="153">
        <f t="shared" si="27"/>
        <v>16</v>
      </c>
      <c r="J43" s="153">
        <f t="shared" si="28"/>
        <v>0</v>
      </c>
      <c r="K43" s="153">
        <f t="shared" si="29"/>
        <v>3429</v>
      </c>
      <c r="M43" s="145">
        <f t="shared" si="30"/>
        <v>16</v>
      </c>
      <c r="N43" s="145">
        <v>154</v>
      </c>
      <c r="O43" s="145">
        <f t="shared" si="31"/>
        <v>2464</v>
      </c>
      <c r="P43" s="146">
        <f t="shared" si="32"/>
        <v>29568</v>
      </c>
      <c r="Q43" s="105"/>
      <c r="R43" s="97">
        <f>+'Rates 2007 01 01'!D40</f>
        <v>17.86</v>
      </c>
      <c r="S43" s="223">
        <f t="shared" si="33"/>
        <v>16</v>
      </c>
      <c r="T43" s="224">
        <f t="shared" si="34"/>
        <v>3429.12</v>
      </c>
      <c r="U43" s="225">
        <f t="shared" si="35"/>
        <v>0.11999999999989086</v>
      </c>
    </row>
    <row r="44" spans="1:21">
      <c r="A44" s="142" t="s">
        <v>542</v>
      </c>
      <c r="B44" s="143">
        <f>+'2007 Stlgt Rates'!F127</f>
        <v>30.133911599999998</v>
      </c>
      <c r="C44" s="153">
        <f>+'Schedule 1'!E18</f>
        <v>1</v>
      </c>
      <c r="D44" s="153">
        <f t="shared" si="24"/>
        <v>362</v>
      </c>
      <c r="E44" s="143">
        <v>0</v>
      </c>
      <c r="F44" s="153">
        <f t="shared" si="25"/>
        <v>1</v>
      </c>
      <c r="G44" s="153">
        <f t="shared" si="26"/>
        <v>0</v>
      </c>
      <c r="H44" s="143">
        <v>0</v>
      </c>
      <c r="I44" s="153">
        <f t="shared" si="27"/>
        <v>1</v>
      </c>
      <c r="J44" s="153">
        <f t="shared" si="28"/>
        <v>0</v>
      </c>
      <c r="K44" s="153">
        <f t="shared" si="29"/>
        <v>362</v>
      </c>
      <c r="M44" s="145">
        <f t="shared" si="30"/>
        <v>1</v>
      </c>
      <c r="N44" s="145">
        <v>260</v>
      </c>
      <c r="O44" s="145">
        <f t="shared" si="31"/>
        <v>260</v>
      </c>
      <c r="P44" s="146">
        <f t="shared" si="32"/>
        <v>3120</v>
      </c>
      <c r="Q44" s="105"/>
      <c r="R44" s="97">
        <f>+'Rates 2007 01 01'!D41</f>
        <v>30.15</v>
      </c>
      <c r="S44" s="223">
        <f t="shared" si="33"/>
        <v>1</v>
      </c>
      <c r="T44" s="224">
        <f t="shared" si="34"/>
        <v>361.79999999999995</v>
      </c>
      <c r="U44" s="225">
        <f t="shared" si="35"/>
        <v>-0.20000000000004547</v>
      </c>
    </row>
    <row r="45" spans="1:21">
      <c r="A45" s="142" t="s">
        <v>543</v>
      </c>
      <c r="B45" s="143">
        <f>+'2007 Stlgt Rates'!F128</f>
        <v>42.102073999999995</v>
      </c>
      <c r="C45" s="144">
        <f>+'Schedule 1'!E19</f>
        <v>7</v>
      </c>
      <c r="D45" s="144">
        <f t="shared" si="24"/>
        <v>3537</v>
      </c>
      <c r="E45" s="143">
        <v>0</v>
      </c>
      <c r="F45" s="144">
        <f t="shared" si="25"/>
        <v>7</v>
      </c>
      <c r="G45" s="144">
        <f t="shared" si="26"/>
        <v>0</v>
      </c>
      <c r="H45" s="143">
        <v>0</v>
      </c>
      <c r="I45" s="144">
        <f t="shared" si="27"/>
        <v>7</v>
      </c>
      <c r="J45" s="144">
        <f t="shared" si="28"/>
        <v>0</v>
      </c>
      <c r="K45" s="144">
        <f t="shared" si="29"/>
        <v>3537</v>
      </c>
      <c r="M45" s="145">
        <f t="shared" si="30"/>
        <v>7</v>
      </c>
      <c r="N45" s="145">
        <v>363</v>
      </c>
      <c r="O45" s="145">
        <f t="shared" si="31"/>
        <v>2541</v>
      </c>
      <c r="P45" s="146">
        <f t="shared" si="32"/>
        <v>30492</v>
      </c>
      <c r="Q45" s="105"/>
      <c r="R45" s="97">
        <f>+'Rates 2007 01 01'!D42</f>
        <v>42.09</v>
      </c>
      <c r="S45" s="223">
        <f t="shared" si="33"/>
        <v>7</v>
      </c>
      <c r="T45" s="224">
        <f t="shared" si="34"/>
        <v>3535.56</v>
      </c>
      <c r="U45" s="225">
        <f t="shared" si="35"/>
        <v>-1.4400000000000546</v>
      </c>
    </row>
    <row r="46" spans="1:21">
      <c r="A46" s="126"/>
      <c r="B46" s="141"/>
      <c r="C46" s="138"/>
      <c r="D46" s="138"/>
      <c r="E46" s="141"/>
      <c r="F46" s="138"/>
      <c r="G46" s="138"/>
      <c r="H46" s="141"/>
      <c r="I46" s="138"/>
      <c r="J46" s="138"/>
      <c r="K46" s="138"/>
      <c r="M46" s="165"/>
      <c r="N46" s="165"/>
      <c r="O46" s="105"/>
      <c r="P46" s="105"/>
      <c r="Q46" s="105"/>
      <c r="R46" s="108"/>
      <c r="S46" s="105"/>
      <c r="T46" s="105"/>
      <c r="U46" s="165"/>
    </row>
    <row r="47" spans="1:21">
      <c r="A47" s="154" t="s">
        <v>33</v>
      </c>
      <c r="B47" s="141"/>
      <c r="C47" s="151">
        <f>SUM(C24:C46)</f>
        <v>18443</v>
      </c>
      <c r="D47" s="151">
        <f>SUM(D24:D46)</f>
        <v>2279044</v>
      </c>
      <c r="E47" s="141"/>
      <c r="F47" s="151">
        <f>SUM(F24:F46)</f>
        <v>18443</v>
      </c>
      <c r="G47" s="151">
        <f>SUM(G24:G46)</f>
        <v>331988</v>
      </c>
      <c r="H47" s="141"/>
      <c r="I47" s="151">
        <f>SUM(I24:I46)</f>
        <v>18443</v>
      </c>
      <c r="J47" s="151">
        <f>SUM(J24:J46)</f>
        <v>835321</v>
      </c>
      <c r="K47" s="151">
        <f>SUM(K24:K46)</f>
        <v>3446353</v>
      </c>
      <c r="M47" s="165">
        <f>SUM(M24:M46)</f>
        <v>18443</v>
      </c>
      <c r="N47" s="165"/>
      <c r="O47" s="165">
        <f>SUM(O24:O46)</f>
        <v>1257463</v>
      </c>
      <c r="P47" s="165">
        <f>SUM(P24:P46)</f>
        <v>15089556</v>
      </c>
      <c r="Q47" s="105"/>
      <c r="R47" s="108"/>
      <c r="S47" s="151">
        <f>SUM(S24:S46)</f>
        <v>18443</v>
      </c>
      <c r="T47" s="151">
        <f>SUM(T24:T46)</f>
        <v>1749495.2400000002</v>
      </c>
      <c r="U47" s="220">
        <f>SUM(U24:U46)</f>
        <v>-529548.76</v>
      </c>
    </row>
    <row r="48" spans="1:21">
      <c r="A48" s="154"/>
      <c r="B48" s="141"/>
      <c r="C48" s="151"/>
      <c r="D48" s="151"/>
      <c r="E48" s="141"/>
      <c r="F48" s="151"/>
      <c r="G48" s="151"/>
      <c r="H48" s="141"/>
      <c r="I48" s="151"/>
      <c r="J48" s="151"/>
      <c r="K48" s="151"/>
      <c r="M48" s="165"/>
      <c r="N48" s="165"/>
      <c r="O48" s="165"/>
      <c r="P48" s="165"/>
      <c r="Q48" s="105"/>
      <c r="R48" s="108"/>
      <c r="S48" s="105"/>
      <c r="T48" s="105"/>
      <c r="U48" s="165"/>
    </row>
    <row r="49" spans="1:21">
      <c r="A49" s="155" t="s">
        <v>544</v>
      </c>
      <c r="B49" s="141"/>
      <c r="C49" s="138"/>
      <c r="D49" s="138"/>
      <c r="E49" s="141"/>
      <c r="F49" s="138"/>
      <c r="G49" s="138"/>
      <c r="H49" s="141"/>
      <c r="I49" s="138"/>
      <c r="J49" s="138"/>
      <c r="K49" s="138"/>
      <c r="M49" s="165"/>
      <c r="N49" s="165"/>
      <c r="O49" s="105"/>
      <c r="P49" s="105"/>
      <c r="Q49" s="105"/>
      <c r="R49" s="108"/>
      <c r="S49" s="105"/>
      <c r="T49" s="105"/>
      <c r="U49" s="165"/>
    </row>
    <row r="50" spans="1:21">
      <c r="A50" s="126"/>
      <c r="B50" s="141"/>
      <c r="C50" s="138"/>
      <c r="D50" s="138"/>
      <c r="E50" s="141"/>
      <c r="F50" s="138"/>
      <c r="G50" s="138"/>
      <c r="H50" s="141"/>
      <c r="I50" s="138"/>
      <c r="J50" s="138"/>
      <c r="K50" s="138"/>
      <c r="M50" s="165"/>
      <c r="N50" s="165"/>
      <c r="O50" s="105"/>
      <c r="P50" s="105"/>
      <c r="Q50" s="105"/>
      <c r="R50" s="105"/>
      <c r="S50" s="105"/>
      <c r="T50" s="105"/>
      <c r="U50" s="105"/>
    </row>
    <row r="51" spans="1:21">
      <c r="A51" s="136" t="s">
        <v>545</v>
      </c>
      <c r="B51" s="141">
        <f>+'2007 Stlgt Rates'!F38</f>
        <v>4.57</v>
      </c>
      <c r="C51" s="138">
        <f>+'Schedule 1'!C23</f>
        <v>913</v>
      </c>
      <c r="D51" s="138">
        <f t="shared" ref="D51:D57" si="36">ROUND(B51*C51*12,0)</f>
        <v>50069</v>
      </c>
      <c r="E51" s="141">
        <f>+'2007 Stlgt Rates'!G38</f>
        <v>2</v>
      </c>
      <c r="F51" s="138">
        <f t="shared" ref="F51:F57" si="37">+C51</f>
        <v>913</v>
      </c>
      <c r="G51" s="138">
        <f t="shared" ref="G51:G57" si="38">ROUND(E51*F51*12,0)</f>
        <v>21912</v>
      </c>
      <c r="H51" s="141">
        <f>+'2007 Stlgt Rates'!H38</f>
        <v>4.4000000000000004</v>
      </c>
      <c r="I51" s="138">
        <f t="shared" ref="I51:I57" si="39">+F51</f>
        <v>913</v>
      </c>
      <c r="J51" s="138">
        <f t="shared" ref="J51:J57" si="40">ROUND(H51*I51*12,0)</f>
        <v>48206</v>
      </c>
      <c r="K51" s="138">
        <f t="shared" ref="K51:K57" si="41">+D51+G51+J51</f>
        <v>120187</v>
      </c>
      <c r="M51" s="165">
        <f t="shared" ref="M51:M57" si="42">+I51</f>
        <v>913</v>
      </c>
      <c r="N51" s="165">
        <v>30</v>
      </c>
      <c r="O51" s="165">
        <f t="shared" ref="O51:O57" si="43">M51*N51</f>
        <v>27390</v>
      </c>
      <c r="P51" s="166">
        <f t="shared" ref="P51:P57" si="44">O51*12</f>
        <v>328680</v>
      </c>
      <c r="Q51" s="105"/>
      <c r="R51" s="108">
        <f>+'Rates 2007 01 01'!D46</f>
        <v>3.48</v>
      </c>
      <c r="S51" s="166">
        <f t="shared" ref="S51:S57" si="45">+M51</f>
        <v>913</v>
      </c>
      <c r="T51" s="138">
        <f t="shared" ref="T51:T57" si="46">R51*S51*12</f>
        <v>38126.879999999997</v>
      </c>
      <c r="U51" s="165">
        <f t="shared" ref="U51:U57" si="47">T51-D51</f>
        <v>-11942.120000000003</v>
      </c>
    </row>
    <row r="52" spans="1:21">
      <c r="A52" s="136" t="s">
        <v>546</v>
      </c>
      <c r="B52" s="141">
        <f>+'2007 Stlgt Rates'!F40</f>
        <v>12.88</v>
      </c>
      <c r="C52" s="138">
        <f>+'Schedule 1'!C24</f>
        <v>153</v>
      </c>
      <c r="D52" s="138">
        <f t="shared" si="36"/>
        <v>23648</v>
      </c>
      <c r="E52" s="141">
        <f>+'2007 Stlgt Rates'!G40</f>
        <v>2</v>
      </c>
      <c r="F52" s="138">
        <f t="shared" si="37"/>
        <v>153</v>
      </c>
      <c r="G52" s="138">
        <f t="shared" si="38"/>
        <v>3672</v>
      </c>
      <c r="H52" s="141">
        <f>+'2007 Stlgt Rates'!H40</f>
        <v>5.0499999999999989</v>
      </c>
      <c r="I52" s="138">
        <f t="shared" si="39"/>
        <v>153</v>
      </c>
      <c r="J52" s="138">
        <f t="shared" si="40"/>
        <v>9272</v>
      </c>
      <c r="K52" s="138">
        <f t="shared" si="41"/>
        <v>36592</v>
      </c>
      <c r="M52" s="165">
        <f t="shared" si="42"/>
        <v>153</v>
      </c>
      <c r="N52" s="165">
        <v>85</v>
      </c>
      <c r="O52" s="165">
        <f t="shared" si="43"/>
        <v>13005</v>
      </c>
      <c r="P52" s="166">
        <f t="shared" si="44"/>
        <v>156060</v>
      </c>
      <c r="Q52" s="105"/>
      <c r="R52" s="108">
        <f>+'Rates 2007 01 01'!D47</f>
        <v>9.86</v>
      </c>
      <c r="S52" s="166">
        <f t="shared" si="45"/>
        <v>153</v>
      </c>
      <c r="T52" s="138">
        <f t="shared" si="46"/>
        <v>18102.96</v>
      </c>
      <c r="U52" s="165">
        <f t="shared" si="47"/>
        <v>-5545.0400000000009</v>
      </c>
    </row>
    <row r="53" spans="1:21">
      <c r="A53" s="136" t="s">
        <v>547</v>
      </c>
      <c r="B53" s="141">
        <f>+'2007 Stlgt Rates'!F46</f>
        <v>17.61</v>
      </c>
      <c r="C53" s="138">
        <f>+'Schedule 1'!C25</f>
        <v>68</v>
      </c>
      <c r="D53" s="138">
        <f t="shared" si="36"/>
        <v>14370</v>
      </c>
      <c r="E53" s="141">
        <f>+'2007 Stlgt Rates'!G46</f>
        <v>2</v>
      </c>
      <c r="F53" s="138">
        <f t="shared" si="37"/>
        <v>68</v>
      </c>
      <c r="G53" s="138">
        <f t="shared" si="38"/>
        <v>1632</v>
      </c>
      <c r="H53" s="141">
        <f>+'2007 Stlgt Rates'!H46</f>
        <v>6.18</v>
      </c>
      <c r="I53" s="138">
        <f t="shared" si="39"/>
        <v>68</v>
      </c>
      <c r="J53" s="138">
        <f t="shared" si="40"/>
        <v>5043</v>
      </c>
      <c r="K53" s="138">
        <f t="shared" si="41"/>
        <v>21045</v>
      </c>
      <c r="M53" s="165">
        <f t="shared" si="42"/>
        <v>68</v>
      </c>
      <c r="N53" s="165">
        <v>116</v>
      </c>
      <c r="O53" s="165">
        <f t="shared" si="43"/>
        <v>7888</v>
      </c>
      <c r="P53" s="166">
        <f t="shared" si="44"/>
        <v>94656</v>
      </c>
      <c r="Q53" s="105"/>
      <c r="R53" s="108">
        <f>+'Rates 2007 01 01'!D48</f>
        <v>13.45</v>
      </c>
      <c r="S53" s="166">
        <f t="shared" si="45"/>
        <v>68</v>
      </c>
      <c r="T53" s="138">
        <f t="shared" si="46"/>
        <v>10975.199999999999</v>
      </c>
      <c r="U53" s="165">
        <f t="shared" si="47"/>
        <v>-3394.8000000000011</v>
      </c>
    </row>
    <row r="54" spans="1:21">
      <c r="A54" s="136" t="s">
        <v>548</v>
      </c>
      <c r="B54" s="141">
        <f>+'2007 Stlgt Rates'!F47</f>
        <v>33.659999999999997</v>
      </c>
      <c r="C54" s="138">
        <f>+'Schedule 1'!C26</f>
        <v>15</v>
      </c>
      <c r="D54" s="138">
        <f t="shared" si="36"/>
        <v>6059</v>
      </c>
      <c r="E54" s="141">
        <f>+'2007 Stlgt Rates'!G47</f>
        <v>2</v>
      </c>
      <c r="F54" s="138">
        <f t="shared" si="37"/>
        <v>15</v>
      </c>
      <c r="G54" s="138">
        <f t="shared" si="38"/>
        <v>360</v>
      </c>
      <c r="H54" s="141">
        <f>+'2007 Stlgt Rates'!H47</f>
        <v>9.07</v>
      </c>
      <c r="I54" s="138">
        <f t="shared" si="39"/>
        <v>15</v>
      </c>
      <c r="J54" s="138">
        <f t="shared" si="40"/>
        <v>1633</v>
      </c>
      <c r="K54" s="138">
        <f t="shared" si="41"/>
        <v>8052</v>
      </c>
      <c r="M54" s="165">
        <f t="shared" si="42"/>
        <v>15</v>
      </c>
      <c r="N54" s="165">
        <v>222</v>
      </c>
      <c r="O54" s="165">
        <f t="shared" si="43"/>
        <v>3330</v>
      </c>
      <c r="P54" s="166">
        <f t="shared" si="44"/>
        <v>39960</v>
      </c>
      <c r="Q54" s="105"/>
      <c r="R54" s="108">
        <f>+'Rates 2007 01 01'!D49</f>
        <v>25.74</v>
      </c>
      <c r="S54" s="166">
        <f t="shared" si="45"/>
        <v>15</v>
      </c>
      <c r="T54" s="138">
        <f t="shared" si="46"/>
        <v>4633.2</v>
      </c>
      <c r="U54" s="165">
        <f t="shared" si="47"/>
        <v>-1425.8000000000002</v>
      </c>
    </row>
    <row r="55" spans="1:21">
      <c r="A55" s="136" t="s">
        <v>549</v>
      </c>
      <c r="B55" s="141">
        <f>+'2007 Stlgt Rates'!F49</f>
        <v>7.13</v>
      </c>
      <c r="C55" s="138">
        <f>+'Schedule 1'!C27</f>
        <v>5</v>
      </c>
      <c r="D55" s="138">
        <f t="shared" si="36"/>
        <v>428</v>
      </c>
      <c r="E55" s="141">
        <f>+'2007 Stlgt Rates'!G49</f>
        <v>2</v>
      </c>
      <c r="F55" s="138">
        <f t="shared" si="37"/>
        <v>5</v>
      </c>
      <c r="G55" s="138">
        <f t="shared" si="38"/>
        <v>120</v>
      </c>
      <c r="H55" s="141">
        <f>+'2007 Stlgt Rates'!H49</f>
        <v>5.7399999999999993</v>
      </c>
      <c r="I55" s="138">
        <f t="shared" si="39"/>
        <v>5</v>
      </c>
      <c r="J55" s="138">
        <f t="shared" si="40"/>
        <v>344</v>
      </c>
      <c r="K55" s="138">
        <f t="shared" si="41"/>
        <v>892</v>
      </c>
      <c r="M55" s="165">
        <f t="shared" si="42"/>
        <v>5</v>
      </c>
      <c r="N55" s="165">
        <v>47</v>
      </c>
      <c r="O55" s="165">
        <f t="shared" si="43"/>
        <v>235</v>
      </c>
      <c r="P55" s="166">
        <f t="shared" si="44"/>
        <v>2820</v>
      </c>
      <c r="Q55" s="105"/>
      <c r="R55" s="108">
        <f>+'Rates 2007 01 01'!D50</f>
        <v>5.45</v>
      </c>
      <c r="S55" s="166">
        <f t="shared" si="45"/>
        <v>5</v>
      </c>
      <c r="T55" s="138">
        <f t="shared" si="46"/>
        <v>327</v>
      </c>
      <c r="U55" s="165">
        <f t="shared" si="47"/>
        <v>-101</v>
      </c>
    </row>
    <row r="56" spans="1:21">
      <c r="A56" s="136" t="s">
        <v>550</v>
      </c>
      <c r="B56" s="141">
        <f>+'2007 Stlgt Rates'!F44</f>
        <v>9.1199999999999992</v>
      </c>
      <c r="C56" s="138">
        <f>+'Schedule 1'!C28</f>
        <v>2</v>
      </c>
      <c r="D56" s="138">
        <f t="shared" si="36"/>
        <v>219</v>
      </c>
      <c r="E56" s="141">
        <f>+'2007 Stlgt Rates'!G44</f>
        <v>2</v>
      </c>
      <c r="F56" s="138">
        <f t="shared" si="37"/>
        <v>2</v>
      </c>
      <c r="G56" s="138">
        <f t="shared" si="38"/>
        <v>48</v>
      </c>
      <c r="H56" s="141">
        <f>+'2007 Stlgt Rates'!H44</f>
        <v>4.7300000000000004</v>
      </c>
      <c r="I56" s="138">
        <f t="shared" si="39"/>
        <v>2</v>
      </c>
      <c r="J56" s="138">
        <f t="shared" si="40"/>
        <v>114</v>
      </c>
      <c r="K56" s="138">
        <f t="shared" si="41"/>
        <v>381</v>
      </c>
      <c r="M56" s="165">
        <f t="shared" si="42"/>
        <v>2</v>
      </c>
      <c r="N56" s="165">
        <v>60</v>
      </c>
      <c r="O56" s="165">
        <f t="shared" si="43"/>
        <v>120</v>
      </c>
      <c r="P56" s="166">
        <f t="shared" si="44"/>
        <v>1440</v>
      </c>
      <c r="Q56" s="105"/>
      <c r="R56" s="108">
        <f>+'Rates 2007 01 01'!D51</f>
        <v>6.96</v>
      </c>
      <c r="S56" s="166">
        <f t="shared" si="45"/>
        <v>2</v>
      </c>
      <c r="T56" s="138">
        <f t="shared" si="46"/>
        <v>167.04</v>
      </c>
      <c r="U56" s="165">
        <f t="shared" si="47"/>
        <v>-51.960000000000008</v>
      </c>
    </row>
    <row r="57" spans="1:21">
      <c r="A57" s="136" t="s">
        <v>551</v>
      </c>
      <c r="B57" s="141">
        <f>+'2007 Stlgt Rates'!F42</f>
        <v>25.22</v>
      </c>
      <c r="C57" s="138">
        <f>+'Schedule 1'!C29</f>
        <v>2</v>
      </c>
      <c r="D57" s="138">
        <f t="shared" si="36"/>
        <v>605</v>
      </c>
      <c r="E57" s="141">
        <f>+'2007 Stlgt Rates'!G46</f>
        <v>2</v>
      </c>
      <c r="F57" s="138">
        <f t="shared" si="37"/>
        <v>2</v>
      </c>
      <c r="G57" s="138">
        <f t="shared" si="38"/>
        <v>48</v>
      </c>
      <c r="H57" s="141">
        <f>+'2007 Stlgt Rates'!H42</f>
        <v>6.4100000000000037</v>
      </c>
      <c r="I57" s="138">
        <f t="shared" si="39"/>
        <v>2</v>
      </c>
      <c r="J57" s="138">
        <f t="shared" si="40"/>
        <v>154</v>
      </c>
      <c r="K57" s="138">
        <f t="shared" si="41"/>
        <v>807</v>
      </c>
      <c r="M57" s="165">
        <f t="shared" si="42"/>
        <v>2</v>
      </c>
      <c r="N57" s="165">
        <v>166</v>
      </c>
      <c r="O57" s="165">
        <f t="shared" si="43"/>
        <v>332</v>
      </c>
      <c r="P57" s="166">
        <f t="shared" si="44"/>
        <v>3984</v>
      </c>
      <c r="Q57" s="105"/>
      <c r="R57" s="108">
        <f>+'Rates 2007 01 01'!D52</f>
        <v>19.25</v>
      </c>
      <c r="S57" s="166">
        <f t="shared" si="45"/>
        <v>2</v>
      </c>
      <c r="T57" s="138">
        <f t="shared" si="46"/>
        <v>462</v>
      </c>
      <c r="U57" s="165">
        <f t="shared" si="47"/>
        <v>-143</v>
      </c>
    </row>
    <row r="58" spans="1:21">
      <c r="A58" s="126"/>
      <c r="B58" s="141"/>
      <c r="C58" s="138"/>
      <c r="D58" s="138"/>
      <c r="E58" s="141"/>
      <c r="F58" s="138"/>
      <c r="G58" s="138"/>
      <c r="H58" s="141"/>
      <c r="I58" s="138"/>
      <c r="J58" s="138"/>
      <c r="K58" s="138"/>
      <c r="M58" s="165"/>
      <c r="N58" s="165"/>
      <c r="O58" s="105"/>
      <c r="P58" s="105"/>
      <c r="Q58" s="105"/>
      <c r="R58" s="108"/>
      <c r="S58" s="105"/>
      <c r="T58" s="105"/>
      <c r="U58" s="165"/>
    </row>
    <row r="59" spans="1:21">
      <c r="A59" s="136" t="s">
        <v>552</v>
      </c>
      <c r="B59" s="141">
        <f>+'2007 Stlgt Rates'!F48</f>
        <v>33.659999999999997</v>
      </c>
      <c r="C59" s="138">
        <f>+'Schedule 1'!D26</f>
        <v>0</v>
      </c>
      <c r="D59" s="138">
        <f t="shared" ref="D59:D64" si="48">ROUND(B59*C59*12,0)</f>
        <v>0</v>
      </c>
      <c r="E59" s="141">
        <f>+'2007 Stlgt Rates'!G48</f>
        <v>2</v>
      </c>
      <c r="F59" s="138">
        <f t="shared" ref="F59:F64" si="49">+C59</f>
        <v>0</v>
      </c>
      <c r="G59" s="138">
        <f t="shared" ref="G59:G64" si="50">ROUND(E59*F59*12,0)</f>
        <v>0</v>
      </c>
      <c r="H59" s="141">
        <f>+'2007 Stlgt Rates'!H48</f>
        <v>0</v>
      </c>
      <c r="I59" s="138">
        <f t="shared" ref="I59:I64" si="51">+F59</f>
        <v>0</v>
      </c>
      <c r="J59" s="138">
        <f t="shared" ref="J59:J64" si="52">ROUND(H59*I59*12,0)</f>
        <v>0</v>
      </c>
      <c r="K59" s="138">
        <f t="shared" ref="K59:K64" si="53">+D59+G59+J59</f>
        <v>0</v>
      </c>
      <c r="M59" s="165">
        <f t="shared" ref="M59:M64" si="54">+I59</f>
        <v>0</v>
      </c>
      <c r="N59" s="165">
        <v>222</v>
      </c>
      <c r="O59" s="165">
        <f t="shared" ref="O59:O64" si="55">M59*N59</f>
        <v>0</v>
      </c>
      <c r="P59" s="166">
        <f t="shared" ref="P59:P64" si="56">O59*12</f>
        <v>0</v>
      </c>
      <c r="Q59" s="105"/>
      <c r="R59" s="108">
        <f>+'Rates 2007 01 01'!D55</f>
        <v>25.74</v>
      </c>
      <c r="S59" s="166">
        <f t="shared" ref="S59:S64" si="57">+M59</f>
        <v>0</v>
      </c>
      <c r="T59" s="138">
        <f t="shared" ref="T59:T64" si="58">R59*S59*12</f>
        <v>0</v>
      </c>
      <c r="U59" s="165">
        <f t="shared" ref="U59:U64" si="59">T59-D59</f>
        <v>0</v>
      </c>
    </row>
    <row r="60" spans="1:21">
      <c r="A60" s="136" t="s">
        <v>553</v>
      </c>
      <c r="B60" s="141">
        <f>+'2007 Stlgt Rates'!F50</f>
        <v>7.13</v>
      </c>
      <c r="C60" s="138">
        <f>+'Schedule 1'!D27</f>
        <v>26</v>
      </c>
      <c r="D60" s="138">
        <f t="shared" si="48"/>
        <v>2225</v>
      </c>
      <c r="E60" s="141">
        <f>+'2007 Stlgt Rates'!G50</f>
        <v>2</v>
      </c>
      <c r="F60" s="138">
        <f t="shared" si="49"/>
        <v>26</v>
      </c>
      <c r="G60" s="138">
        <f t="shared" si="50"/>
        <v>624</v>
      </c>
      <c r="H60" s="141">
        <f>+'2007 Stlgt Rates'!H50</f>
        <v>-1.0000000000000675E-2</v>
      </c>
      <c r="I60" s="138">
        <f t="shared" si="51"/>
        <v>26</v>
      </c>
      <c r="J60" s="138">
        <f t="shared" si="52"/>
        <v>-3</v>
      </c>
      <c r="K60" s="138">
        <f t="shared" si="53"/>
        <v>2846</v>
      </c>
      <c r="M60" s="165">
        <f t="shared" si="54"/>
        <v>26</v>
      </c>
      <c r="N60" s="165">
        <v>47</v>
      </c>
      <c r="O60" s="165">
        <f t="shared" si="55"/>
        <v>1222</v>
      </c>
      <c r="P60" s="166">
        <f t="shared" si="56"/>
        <v>14664</v>
      </c>
      <c r="Q60" s="105"/>
      <c r="R60" s="108">
        <f>+'Rates 2007 01 01'!D56</f>
        <v>5.45</v>
      </c>
      <c r="S60" s="166">
        <f t="shared" si="57"/>
        <v>26</v>
      </c>
      <c r="T60" s="138">
        <f t="shared" si="58"/>
        <v>1700.4</v>
      </c>
      <c r="U60" s="165">
        <f t="shared" si="59"/>
        <v>-524.59999999999991</v>
      </c>
    </row>
    <row r="61" spans="1:21">
      <c r="A61" s="136" t="s">
        <v>554</v>
      </c>
      <c r="B61" s="141">
        <f>+'2007 Stlgt Rates'!F45</f>
        <v>9.14</v>
      </c>
      <c r="C61" s="138">
        <f>+'Schedule 1'!D28</f>
        <v>3</v>
      </c>
      <c r="D61" s="138">
        <f t="shared" si="48"/>
        <v>329</v>
      </c>
      <c r="E61" s="141">
        <f>+'2007 Stlgt Rates'!G45</f>
        <v>2</v>
      </c>
      <c r="F61" s="138">
        <f t="shared" si="49"/>
        <v>3</v>
      </c>
      <c r="G61" s="138">
        <f t="shared" si="50"/>
        <v>72</v>
      </c>
      <c r="H61" s="141">
        <f>+'2007 Stlgt Rates'!H45</f>
        <v>-9.9999999999997868E-3</v>
      </c>
      <c r="I61" s="138">
        <f t="shared" si="51"/>
        <v>3</v>
      </c>
      <c r="J61" s="138">
        <f t="shared" si="52"/>
        <v>0</v>
      </c>
      <c r="K61" s="138">
        <f t="shared" si="53"/>
        <v>401</v>
      </c>
      <c r="M61" s="165">
        <f t="shared" si="54"/>
        <v>3</v>
      </c>
      <c r="N61" s="165">
        <v>60</v>
      </c>
      <c r="O61" s="165">
        <f t="shared" si="55"/>
        <v>180</v>
      </c>
      <c r="P61" s="166">
        <f t="shared" si="56"/>
        <v>2160</v>
      </c>
      <c r="Q61" s="105"/>
      <c r="R61" s="108">
        <f>+'Rates 2007 01 01'!D57</f>
        <v>6.96</v>
      </c>
      <c r="S61" s="166">
        <f t="shared" si="57"/>
        <v>3</v>
      </c>
      <c r="T61" s="138">
        <f t="shared" si="58"/>
        <v>250.56</v>
      </c>
      <c r="U61" s="165">
        <f t="shared" si="59"/>
        <v>-78.44</v>
      </c>
    </row>
    <row r="62" spans="1:21">
      <c r="A62" s="136" t="s">
        <v>602</v>
      </c>
      <c r="B62" s="141">
        <f>+'2007 Stlgt Rates'!F43</f>
        <v>25.22</v>
      </c>
      <c r="C62" s="138">
        <f>+'Schedule 1'!D29</f>
        <v>0</v>
      </c>
      <c r="D62" s="138">
        <f t="shared" si="48"/>
        <v>0</v>
      </c>
      <c r="E62" s="141">
        <f>+'2007 Stlgt Rates'!G43</f>
        <v>2</v>
      </c>
      <c r="F62" s="138">
        <f t="shared" si="49"/>
        <v>0</v>
      </c>
      <c r="G62" s="138">
        <f t="shared" si="50"/>
        <v>0</v>
      </c>
      <c r="H62" s="141">
        <f>+'2007 Stlgt Rates'!H43</f>
        <v>-9.9999999999980105E-3</v>
      </c>
      <c r="I62" s="138">
        <f t="shared" si="51"/>
        <v>0</v>
      </c>
      <c r="J62" s="138">
        <f t="shared" si="52"/>
        <v>0</v>
      </c>
      <c r="K62" s="138">
        <f t="shared" si="53"/>
        <v>0</v>
      </c>
      <c r="M62" s="165">
        <f t="shared" si="54"/>
        <v>0</v>
      </c>
      <c r="N62" s="165">
        <v>166</v>
      </c>
      <c r="O62" s="165">
        <f t="shared" si="55"/>
        <v>0</v>
      </c>
      <c r="P62" s="166">
        <f t="shared" si="56"/>
        <v>0</v>
      </c>
      <c r="Q62" s="105"/>
      <c r="R62" s="108">
        <f>+'Rates 2007 01 01'!D58</f>
        <v>19.25</v>
      </c>
      <c r="S62" s="166">
        <f t="shared" si="57"/>
        <v>0</v>
      </c>
      <c r="T62" s="138">
        <f t="shared" si="58"/>
        <v>0</v>
      </c>
      <c r="U62" s="165">
        <f t="shared" si="59"/>
        <v>0</v>
      </c>
    </row>
    <row r="63" spans="1:21">
      <c r="A63" s="136" t="s">
        <v>555</v>
      </c>
      <c r="B63" s="141">
        <f>+'2007 Stlgt Rates'!F39</f>
        <v>7.44</v>
      </c>
      <c r="C63" s="138">
        <f>+'Schedule 1'!D30</f>
        <v>1</v>
      </c>
      <c r="D63" s="138">
        <f t="shared" si="48"/>
        <v>89</v>
      </c>
      <c r="E63" s="141">
        <f>+'2007 Stlgt Rates'!G39</f>
        <v>2</v>
      </c>
      <c r="F63" s="138">
        <f t="shared" si="49"/>
        <v>1</v>
      </c>
      <c r="G63" s="138">
        <f t="shared" si="50"/>
        <v>24</v>
      </c>
      <c r="H63" s="141">
        <f>+'2007 Stlgt Rates'!H39</f>
        <v>0</v>
      </c>
      <c r="I63" s="138">
        <f t="shared" si="51"/>
        <v>1</v>
      </c>
      <c r="J63" s="138">
        <f t="shared" si="52"/>
        <v>0</v>
      </c>
      <c r="K63" s="138">
        <f t="shared" si="53"/>
        <v>113</v>
      </c>
      <c r="M63" s="165">
        <f t="shared" si="54"/>
        <v>1</v>
      </c>
      <c r="N63" s="165">
        <v>49</v>
      </c>
      <c r="O63" s="165">
        <f t="shared" si="55"/>
        <v>49</v>
      </c>
      <c r="P63" s="166">
        <f t="shared" si="56"/>
        <v>588</v>
      </c>
      <c r="Q63" s="105"/>
      <c r="R63" s="108">
        <f>+'Rates 2007 01 01'!D59</f>
        <v>5.68</v>
      </c>
      <c r="S63" s="166">
        <f t="shared" si="57"/>
        <v>1</v>
      </c>
      <c r="T63" s="138">
        <f t="shared" si="58"/>
        <v>68.16</v>
      </c>
      <c r="U63" s="165">
        <f t="shared" si="59"/>
        <v>-20.840000000000003</v>
      </c>
    </row>
    <row r="64" spans="1:21">
      <c r="A64" s="156" t="s">
        <v>556</v>
      </c>
      <c r="B64" s="157">
        <f>+'2007 Stlgt Rates'!F41</f>
        <v>12.89</v>
      </c>
      <c r="C64" s="138">
        <f>+'Schedule 1'!D32</f>
        <v>0</v>
      </c>
      <c r="D64" s="138">
        <f t="shared" si="48"/>
        <v>0</v>
      </c>
      <c r="E64" s="157">
        <f>+'2007 Stlgt Rates'!G41</f>
        <v>2</v>
      </c>
      <c r="F64" s="138">
        <f t="shared" si="49"/>
        <v>0</v>
      </c>
      <c r="G64" s="138">
        <f t="shared" si="50"/>
        <v>0</v>
      </c>
      <c r="H64" s="157">
        <f>+'2007 Stlgt Rates'!H41</f>
        <v>0</v>
      </c>
      <c r="I64" s="138">
        <f t="shared" si="51"/>
        <v>0</v>
      </c>
      <c r="J64" s="138">
        <f t="shared" si="52"/>
        <v>0</v>
      </c>
      <c r="K64" s="138">
        <f t="shared" si="53"/>
        <v>0</v>
      </c>
      <c r="L64" s="79"/>
      <c r="M64" s="165">
        <f t="shared" si="54"/>
        <v>0</v>
      </c>
      <c r="N64" s="159">
        <v>85</v>
      </c>
      <c r="O64" s="165">
        <f t="shared" si="55"/>
        <v>0</v>
      </c>
      <c r="P64" s="166">
        <f t="shared" si="56"/>
        <v>0</v>
      </c>
      <c r="Q64" s="79"/>
      <c r="R64" s="108">
        <f>+'Rates 2007 01 01'!D60</f>
        <v>9.86</v>
      </c>
      <c r="S64" s="166">
        <f t="shared" si="57"/>
        <v>0</v>
      </c>
      <c r="T64" s="138">
        <f t="shared" si="58"/>
        <v>0</v>
      </c>
      <c r="U64" s="165">
        <f t="shared" si="59"/>
        <v>0</v>
      </c>
    </row>
    <row r="65" spans="1:21">
      <c r="A65" s="156"/>
      <c r="B65" s="157"/>
      <c r="C65" s="138"/>
      <c r="D65" s="158"/>
      <c r="E65" s="157"/>
      <c r="F65" s="158"/>
      <c r="G65" s="158"/>
      <c r="H65" s="157"/>
      <c r="I65" s="158"/>
      <c r="J65" s="158"/>
      <c r="K65" s="158"/>
      <c r="L65" s="79"/>
      <c r="M65" s="159"/>
      <c r="N65" s="159"/>
      <c r="O65" s="159"/>
      <c r="P65" s="160"/>
      <c r="Q65" s="79"/>
      <c r="R65" s="82"/>
      <c r="S65" s="160"/>
      <c r="T65" s="158"/>
      <c r="U65" s="159"/>
    </row>
    <row r="66" spans="1:21">
      <c r="A66" s="142" t="s">
        <v>557</v>
      </c>
      <c r="B66" s="143">
        <f>+'2007 Stlgt Rates'!F134</f>
        <v>5.4513920000000002</v>
      </c>
      <c r="C66" s="144">
        <f>+'Schedule 1'!E32</f>
        <v>2</v>
      </c>
      <c r="D66" s="144">
        <f>ROUND(B66*C66*12,0)</f>
        <v>131</v>
      </c>
      <c r="E66" s="143">
        <f>+'2007 Stlgt Rates'!G134</f>
        <v>0</v>
      </c>
      <c r="F66" s="144">
        <f>+C66</f>
        <v>2</v>
      </c>
      <c r="G66" s="144">
        <f>ROUND(E66*F66*12,0)</f>
        <v>0</v>
      </c>
      <c r="H66" s="143">
        <f>+'2007 Stlgt Rates'!H134</f>
        <v>0</v>
      </c>
      <c r="I66" s="144">
        <f>+F66</f>
        <v>2</v>
      </c>
      <c r="J66" s="144">
        <f>ROUND(H66*I66*12,0)</f>
        <v>0</v>
      </c>
      <c r="K66" s="144">
        <f>+D66+G66+J66</f>
        <v>131</v>
      </c>
      <c r="M66" s="145">
        <f>+I66</f>
        <v>2</v>
      </c>
      <c r="N66" s="145">
        <v>47</v>
      </c>
      <c r="O66" s="145">
        <f>M66*N66</f>
        <v>94</v>
      </c>
      <c r="P66" s="146">
        <f>O66*12</f>
        <v>1128</v>
      </c>
      <c r="Q66" s="105"/>
      <c r="R66" s="97">
        <f>+'Rates 2007 01 01'!D62</f>
        <v>5.45</v>
      </c>
      <c r="S66" s="223">
        <f>+M66</f>
        <v>2</v>
      </c>
      <c r="T66" s="224">
        <f>R66*S66*12</f>
        <v>130.80000000000001</v>
      </c>
      <c r="U66" s="225">
        <f>T66-D66</f>
        <v>-0.19999999999998863</v>
      </c>
    </row>
    <row r="67" spans="1:21">
      <c r="A67" s="142"/>
      <c r="B67" s="143"/>
      <c r="C67" s="144"/>
      <c r="D67" s="144"/>
      <c r="E67" s="143"/>
      <c r="F67" s="144"/>
      <c r="G67" s="144"/>
      <c r="H67" s="143"/>
      <c r="I67" s="144"/>
      <c r="J67" s="144"/>
      <c r="K67" s="144"/>
      <c r="M67" s="145"/>
      <c r="N67" s="145"/>
      <c r="O67" s="145"/>
      <c r="P67" s="146"/>
      <c r="Q67" s="105"/>
      <c r="R67" s="97"/>
      <c r="S67" s="146"/>
      <c r="T67" s="153"/>
      <c r="U67" s="145"/>
    </row>
    <row r="68" spans="1:21">
      <c r="A68" s="154" t="s">
        <v>33</v>
      </c>
      <c r="B68" s="141"/>
      <c r="C68" s="161">
        <f>SUM(C51:C67)</f>
        <v>1190</v>
      </c>
      <c r="D68" s="161">
        <f>SUM(D51:D67)</f>
        <v>98172</v>
      </c>
      <c r="E68" s="141"/>
      <c r="F68" s="161">
        <f>SUM(F51:F67)</f>
        <v>1190</v>
      </c>
      <c r="G68" s="161">
        <f>SUM(G51:G67)</f>
        <v>28512</v>
      </c>
      <c r="H68" s="141"/>
      <c r="I68" s="161">
        <f>SUM(I51:I67)</f>
        <v>1190</v>
      </c>
      <c r="J68" s="161">
        <f>SUM(J51:J67)</f>
        <v>64763</v>
      </c>
      <c r="K68" s="161">
        <f>SUM(K51:K67)</f>
        <v>191447</v>
      </c>
      <c r="M68" s="165">
        <f>SUM(M51:M67)</f>
        <v>1190</v>
      </c>
      <c r="N68" s="165"/>
      <c r="O68" s="165">
        <f>SUM(O51:O67)</f>
        <v>53845</v>
      </c>
      <c r="P68" s="165">
        <f>SUM(P51:P67)</f>
        <v>646140</v>
      </c>
      <c r="Q68" s="105"/>
      <c r="R68" s="108"/>
      <c r="S68" s="162">
        <f>SUM(S51:S67)</f>
        <v>1190</v>
      </c>
      <c r="T68" s="162">
        <f>SUM(T51:T67)</f>
        <v>74944.199999999983</v>
      </c>
      <c r="U68" s="152">
        <f>SUM(U51:U67)</f>
        <v>-23227.800000000003</v>
      </c>
    </row>
    <row r="69" spans="1:21">
      <c r="A69" s="126"/>
      <c r="B69" s="141"/>
      <c r="C69" s="138"/>
      <c r="D69" s="138"/>
      <c r="E69" s="141"/>
      <c r="F69" s="138"/>
      <c r="G69" s="138"/>
      <c r="H69" s="141"/>
      <c r="I69" s="138"/>
      <c r="J69" s="138"/>
      <c r="K69" s="138"/>
      <c r="M69" s="165"/>
      <c r="N69" s="165"/>
      <c r="O69" s="105"/>
      <c r="P69" s="105"/>
      <c r="Q69" s="105"/>
      <c r="R69" s="108"/>
      <c r="S69" s="105"/>
      <c r="T69" s="105"/>
      <c r="U69" s="165"/>
    </row>
    <row r="70" spans="1:21">
      <c r="A70" s="154" t="s">
        <v>558</v>
      </c>
      <c r="B70" s="141"/>
      <c r="C70" s="138"/>
      <c r="D70" s="138"/>
      <c r="E70" s="141"/>
      <c r="F70" s="138"/>
      <c r="G70" s="138"/>
      <c r="H70" s="141"/>
      <c r="I70" s="138"/>
      <c r="J70" s="138"/>
      <c r="K70" s="138"/>
      <c r="M70" s="165"/>
      <c r="N70" s="165"/>
      <c r="O70" s="105"/>
      <c r="P70" s="105"/>
      <c r="Q70" s="105"/>
      <c r="R70" s="108"/>
      <c r="S70" s="105"/>
      <c r="T70" s="105"/>
      <c r="U70" s="165"/>
    </row>
    <row r="71" spans="1:21">
      <c r="A71" s="126"/>
      <c r="B71" s="141"/>
      <c r="C71" s="138"/>
      <c r="D71" s="138"/>
      <c r="E71" s="141"/>
      <c r="F71" s="138"/>
      <c r="G71" s="138"/>
      <c r="H71" s="141"/>
      <c r="I71" s="138"/>
      <c r="J71" s="138"/>
      <c r="K71" s="138"/>
      <c r="M71" s="165"/>
      <c r="N71" s="165"/>
      <c r="O71" s="105"/>
      <c r="P71" s="105"/>
      <c r="Q71" s="105"/>
      <c r="R71" s="108"/>
      <c r="S71" s="105"/>
      <c r="T71" s="105"/>
      <c r="U71" s="165"/>
    </row>
    <row r="72" spans="1:21">
      <c r="A72" s="136" t="s">
        <v>559</v>
      </c>
      <c r="B72" s="141">
        <f>+'2007 Stlgt Rates'!F60</f>
        <v>54.99</v>
      </c>
      <c r="C72" s="138">
        <f>+'Schedule 1'!E36</f>
        <v>2</v>
      </c>
      <c r="D72" s="138">
        <f>ROUND(B72*C72*12,0)</f>
        <v>1320</v>
      </c>
      <c r="E72" s="141">
        <v>0</v>
      </c>
      <c r="F72" s="138">
        <f>+C72</f>
        <v>2</v>
      </c>
      <c r="G72" s="138">
        <f>ROUND(E72*F72*12,0)</f>
        <v>0</v>
      </c>
      <c r="H72" s="141">
        <v>0</v>
      </c>
      <c r="I72" s="138">
        <f>+F72</f>
        <v>2</v>
      </c>
      <c r="J72" s="138">
        <f>ROUND(H72*I72*12,0)</f>
        <v>0</v>
      </c>
      <c r="K72" s="138">
        <f>+D72+G72+J72</f>
        <v>1320</v>
      </c>
      <c r="M72" s="165">
        <f>+I72</f>
        <v>2</v>
      </c>
      <c r="N72" s="165">
        <v>486</v>
      </c>
      <c r="O72" s="165">
        <f>M72*N72</f>
        <v>972</v>
      </c>
      <c r="P72" s="166">
        <f>O72*12</f>
        <v>11664</v>
      </c>
      <c r="Q72" s="105"/>
      <c r="R72" s="108">
        <f>+'Rates 2007 01 01'!D70</f>
        <v>43.665301800000002</v>
      </c>
      <c r="S72" s="166">
        <f>+M72</f>
        <v>2</v>
      </c>
      <c r="T72" s="138">
        <f>R72*S72*12</f>
        <v>1047.9672432</v>
      </c>
      <c r="U72" s="165">
        <f>T72-D72</f>
        <v>-272.03275680000002</v>
      </c>
    </row>
    <row r="73" spans="1:21">
      <c r="A73" s="136" t="s">
        <v>560</v>
      </c>
      <c r="B73" s="141">
        <f>+'2007 Stlgt Rates'!F58</f>
        <v>7.48</v>
      </c>
      <c r="C73" s="138">
        <f>+'Schedule 1'!E37</f>
        <v>17</v>
      </c>
      <c r="D73" s="138">
        <f>ROUND(B73*C73*12,0)</f>
        <v>1526</v>
      </c>
      <c r="E73" s="141">
        <v>0</v>
      </c>
      <c r="F73" s="138">
        <f>+C73</f>
        <v>17</v>
      </c>
      <c r="G73" s="138">
        <f>ROUND(E73*F73*12,0)</f>
        <v>0</v>
      </c>
      <c r="H73" s="141">
        <v>0</v>
      </c>
      <c r="I73" s="138">
        <f>+F73</f>
        <v>17</v>
      </c>
      <c r="J73" s="138">
        <f>ROUND(H73*I73*12,0)</f>
        <v>0</v>
      </c>
      <c r="K73" s="138">
        <f>+D73+G73+J73</f>
        <v>1526</v>
      </c>
      <c r="M73" s="165">
        <f>+I73</f>
        <v>17</v>
      </c>
      <c r="N73" s="165">
        <v>66</v>
      </c>
      <c r="O73" s="165">
        <f>M73*N73</f>
        <v>1122</v>
      </c>
      <c r="P73" s="166">
        <f>O73*12</f>
        <v>13464</v>
      </c>
      <c r="Q73" s="105"/>
      <c r="R73" s="108">
        <f>+'Rates 2007 01 01'!D68</f>
        <v>5.9298558000000003</v>
      </c>
      <c r="S73" s="166">
        <f>+M73</f>
        <v>17</v>
      </c>
      <c r="T73" s="138">
        <f>R73*S73*12</f>
        <v>1209.6905832</v>
      </c>
      <c r="U73" s="165">
        <f>T73-D73</f>
        <v>-316.30941680000001</v>
      </c>
    </row>
    <row r="74" spans="1:21">
      <c r="A74" s="136" t="s">
        <v>561</v>
      </c>
      <c r="B74" s="141">
        <f>+'2007 Stlgt Rates'!F59</f>
        <v>41.18</v>
      </c>
      <c r="C74" s="138">
        <f>+'Schedule 1'!E38</f>
        <v>21</v>
      </c>
      <c r="D74" s="138">
        <f>ROUND(B74*C74*12,0)</f>
        <v>10377</v>
      </c>
      <c r="E74" s="141">
        <v>0</v>
      </c>
      <c r="F74" s="138">
        <f>+C74</f>
        <v>21</v>
      </c>
      <c r="G74" s="138">
        <f>ROUND(E74*F74*12,0)</f>
        <v>0</v>
      </c>
      <c r="H74" s="141">
        <v>0</v>
      </c>
      <c r="I74" s="138">
        <f>+F74</f>
        <v>21</v>
      </c>
      <c r="J74" s="138">
        <f>ROUND(H74*I74*12,0)</f>
        <v>0</v>
      </c>
      <c r="K74" s="138">
        <f>+D74+G74+J74</f>
        <v>10377</v>
      </c>
      <c r="M74" s="165">
        <f>+I74</f>
        <v>21</v>
      </c>
      <c r="N74" s="165">
        <v>364</v>
      </c>
      <c r="O74" s="165">
        <f>M74*N74</f>
        <v>7644</v>
      </c>
      <c r="P74" s="166">
        <f>O74*12</f>
        <v>91728</v>
      </c>
      <c r="Q74" s="105"/>
      <c r="R74" s="108">
        <f>+'Rates 2007 01 01'!D69</f>
        <v>32.704053200000004</v>
      </c>
      <c r="S74" s="166">
        <f>+M74</f>
        <v>21</v>
      </c>
      <c r="T74" s="138">
        <f>R74*S74*12</f>
        <v>8241.4214064000007</v>
      </c>
      <c r="U74" s="165">
        <f>T74-D74</f>
        <v>-2135.5785935999993</v>
      </c>
    </row>
    <row r="75" spans="1:21">
      <c r="A75" s="136" t="s">
        <v>562</v>
      </c>
      <c r="B75" s="141">
        <f>+'2007 Stlgt Rates'!F61</f>
        <v>28.75</v>
      </c>
      <c r="C75" s="138">
        <f>+'Schedule 1'!E39</f>
        <v>29</v>
      </c>
      <c r="D75" s="138">
        <f>ROUND(B75*C75*12,0)</f>
        <v>10005</v>
      </c>
      <c r="E75" s="141">
        <v>0</v>
      </c>
      <c r="F75" s="138">
        <f>+C75</f>
        <v>29</v>
      </c>
      <c r="G75" s="138">
        <f>ROUND(E75*F75*12,0)</f>
        <v>0</v>
      </c>
      <c r="H75" s="141">
        <v>0</v>
      </c>
      <c r="I75" s="138">
        <f>+F75</f>
        <v>29</v>
      </c>
      <c r="J75" s="138">
        <f>ROUND(H75*I75*12,0)</f>
        <v>0</v>
      </c>
      <c r="K75" s="138">
        <f>+D75+G75+J75</f>
        <v>10005</v>
      </c>
      <c r="M75" s="165">
        <f>+I75</f>
        <v>29</v>
      </c>
      <c r="N75" s="165">
        <v>254</v>
      </c>
      <c r="O75" s="165">
        <f>M75*N75</f>
        <v>7366</v>
      </c>
      <c r="P75" s="166">
        <f>O75*12</f>
        <v>88392</v>
      </c>
      <c r="Q75" s="105"/>
      <c r="R75" s="108">
        <f>+'Rates 2007 01 01'!D71</f>
        <v>22.820960200000002</v>
      </c>
      <c r="S75" s="166">
        <f>+M75</f>
        <v>29</v>
      </c>
      <c r="T75" s="138">
        <f>R75*S75*12</f>
        <v>7941.6941495999999</v>
      </c>
      <c r="U75" s="165">
        <f>T75-D75</f>
        <v>-2063.3058504000001</v>
      </c>
    </row>
    <row r="76" spans="1:21">
      <c r="A76" s="136" t="s">
        <v>563</v>
      </c>
      <c r="B76" s="141">
        <f>+'2007 Stlgt Rates'!F62</f>
        <v>69.36</v>
      </c>
      <c r="C76" s="138">
        <f>+'Schedule 1'!E40</f>
        <v>23</v>
      </c>
      <c r="D76" s="138">
        <f>ROUND(B76*C76*12,0)</f>
        <v>19143</v>
      </c>
      <c r="E76" s="141">
        <v>0</v>
      </c>
      <c r="F76" s="138">
        <f>+C76</f>
        <v>23</v>
      </c>
      <c r="G76" s="138">
        <f>ROUND(E76*F76*12,0)</f>
        <v>0</v>
      </c>
      <c r="H76" s="141">
        <v>0</v>
      </c>
      <c r="I76" s="138">
        <f>+F76</f>
        <v>23</v>
      </c>
      <c r="J76" s="138">
        <f>ROUND(H76*I76*12,0)</f>
        <v>0</v>
      </c>
      <c r="K76" s="138">
        <f>+D76+G76+J76</f>
        <v>19143</v>
      </c>
      <c r="M76" s="165">
        <f>+I76</f>
        <v>23</v>
      </c>
      <c r="N76" s="165">
        <v>613</v>
      </c>
      <c r="O76" s="165">
        <f>M76*N76</f>
        <v>14099</v>
      </c>
      <c r="P76" s="166">
        <f>O76*12</f>
        <v>169188</v>
      </c>
      <c r="Q76" s="105"/>
      <c r="R76" s="108">
        <f>+'Rates 2007 01 01'!D72</f>
        <v>55.075781900000003</v>
      </c>
      <c r="S76" s="166">
        <f>+M76</f>
        <v>23</v>
      </c>
      <c r="T76" s="138">
        <f>R76*S76*12</f>
        <v>15200.9158044</v>
      </c>
      <c r="U76" s="165">
        <f>T76-D76</f>
        <v>-3942.0841956000004</v>
      </c>
    </row>
    <row r="77" spans="1:21">
      <c r="A77" s="126"/>
      <c r="B77" s="141"/>
      <c r="C77" s="138"/>
      <c r="D77" s="138"/>
      <c r="E77" s="141"/>
      <c r="F77" s="138"/>
      <c r="G77" s="138"/>
      <c r="H77" s="141"/>
      <c r="I77" s="138"/>
      <c r="J77" s="138"/>
      <c r="K77" s="138"/>
      <c r="M77" s="165"/>
      <c r="N77" s="165"/>
      <c r="O77" s="105"/>
      <c r="P77" s="105"/>
      <c r="Q77" s="105"/>
      <c r="R77" s="108"/>
      <c r="S77" s="105"/>
      <c r="T77" s="105"/>
      <c r="U77" s="165"/>
    </row>
    <row r="78" spans="1:21">
      <c r="A78" s="136" t="s">
        <v>564</v>
      </c>
      <c r="B78" s="141">
        <f>+'2007 Stlgt Rates'!F68</f>
        <v>4.57</v>
      </c>
      <c r="C78" s="138">
        <f>+'Schedule 1'!E43</f>
        <v>1</v>
      </c>
      <c r="D78" s="138">
        <f t="shared" ref="D78:D84" si="60">ROUND(B78*C78*12,0)</f>
        <v>55</v>
      </c>
      <c r="E78" s="141">
        <v>0</v>
      </c>
      <c r="F78" s="138">
        <f t="shared" ref="F78:F84" si="61">+C78</f>
        <v>1</v>
      </c>
      <c r="G78" s="138">
        <f t="shared" ref="G78:G84" si="62">ROUND(E78*F78*12,0)</f>
        <v>0</v>
      </c>
      <c r="H78" s="141">
        <v>0</v>
      </c>
      <c r="I78" s="138">
        <f t="shared" ref="I78:I84" si="63">+F78</f>
        <v>1</v>
      </c>
      <c r="J78" s="138">
        <f t="shared" ref="J78:J84" si="64">ROUND(H78*I78*12,0)</f>
        <v>0</v>
      </c>
      <c r="K78" s="138">
        <f t="shared" ref="K78:K84" si="65">+D78+G78+J78</f>
        <v>55</v>
      </c>
      <c r="M78" s="165">
        <f t="shared" ref="M78:M84" si="66">+I78</f>
        <v>1</v>
      </c>
      <c r="N78" s="165">
        <v>30</v>
      </c>
      <c r="O78" s="165">
        <f t="shared" ref="O78:O84" si="67">M78*N78</f>
        <v>30</v>
      </c>
      <c r="P78" s="166">
        <f t="shared" ref="P78:P84" si="68">O78*12</f>
        <v>360</v>
      </c>
      <c r="Q78" s="105"/>
      <c r="R78" s="108">
        <f>+'Rates 2007 01 01'!D77</f>
        <v>3.48</v>
      </c>
      <c r="S78" s="166">
        <f t="shared" ref="S78:S84" si="69">+M78</f>
        <v>1</v>
      </c>
      <c r="T78" s="138">
        <f t="shared" ref="T78:T84" si="70">R78*S78*12</f>
        <v>41.76</v>
      </c>
      <c r="U78" s="165">
        <f t="shared" ref="U78:U84" si="71">T78-D78</f>
        <v>-13.240000000000002</v>
      </c>
    </row>
    <row r="79" spans="1:21">
      <c r="A79" s="136" t="s">
        <v>565</v>
      </c>
      <c r="B79" s="141">
        <f>+'2007 Stlgt Rates'!F69</f>
        <v>25.22</v>
      </c>
      <c r="C79" s="138">
        <v>5</v>
      </c>
      <c r="D79" s="138">
        <f t="shared" si="60"/>
        <v>1513</v>
      </c>
      <c r="E79" s="141">
        <v>0</v>
      </c>
      <c r="F79" s="138">
        <f t="shared" si="61"/>
        <v>5</v>
      </c>
      <c r="G79" s="138">
        <f t="shared" si="62"/>
        <v>0</v>
      </c>
      <c r="H79" s="141">
        <v>0</v>
      </c>
      <c r="I79" s="138">
        <f t="shared" si="63"/>
        <v>5</v>
      </c>
      <c r="J79" s="138">
        <f t="shared" si="64"/>
        <v>0</v>
      </c>
      <c r="K79" s="138">
        <f t="shared" si="65"/>
        <v>1513</v>
      </c>
      <c r="M79" s="165">
        <f t="shared" si="66"/>
        <v>5</v>
      </c>
      <c r="N79" s="165">
        <v>166</v>
      </c>
      <c r="O79" s="165">
        <f t="shared" si="67"/>
        <v>830</v>
      </c>
      <c r="P79" s="166">
        <f t="shared" si="68"/>
        <v>9960</v>
      </c>
      <c r="Q79" s="105"/>
      <c r="R79" s="108">
        <f>+'Rates 2007 01 01'!D78</f>
        <v>19.25</v>
      </c>
      <c r="S79" s="166">
        <f t="shared" si="69"/>
        <v>5</v>
      </c>
      <c r="T79" s="138">
        <f t="shared" si="70"/>
        <v>1155</v>
      </c>
      <c r="U79" s="165">
        <f t="shared" si="71"/>
        <v>-358</v>
      </c>
    </row>
    <row r="80" spans="1:21">
      <c r="A80" s="136" t="s">
        <v>566</v>
      </c>
      <c r="B80" s="141">
        <f>+'2007 Stlgt Rates'!F71</f>
        <v>17.61</v>
      </c>
      <c r="C80" s="138">
        <f>+'Schedule 1'!E45</f>
        <v>2</v>
      </c>
      <c r="D80" s="138">
        <f t="shared" si="60"/>
        <v>423</v>
      </c>
      <c r="E80" s="141">
        <v>0</v>
      </c>
      <c r="F80" s="138">
        <f t="shared" si="61"/>
        <v>2</v>
      </c>
      <c r="G80" s="138">
        <f t="shared" si="62"/>
        <v>0</v>
      </c>
      <c r="H80" s="141">
        <v>0</v>
      </c>
      <c r="I80" s="138">
        <f t="shared" si="63"/>
        <v>2</v>
      </c>
      <c r="J80" s="138">
        <f t="shared" si="64"/>
        <v>0</v>
      </c>
      <c r="K80" s="138">
        <f t="shared" si="65"/>
        <v>423</v>
      </c>
      <c r="M80" s="165">
        <f t="shared" si="66"/>
        <v>2</v>
      </c>
      <c r="N80" s="165">
        <v>116</v>
      </c>
      <c r="O80" s="165">
        <f t="shared" si="67"/>
        <v>232</v>
      </c>
      <c r="P80" s="166">
        <f t="shared" si="68"/>
        <v>2784</v>
      </c>
      <c r="Q80" s="105"/>
      <c r="R80" s="108">
        <f>+'Rates 2007 01 01'!D80</f>
        <v>13.45</v>
      </c>
      <c r="S80" s="166">
        <f t="shared" si="69"/>
        <v>2</v>
      </c>
      <c r="T80" s="138">
        <f t="shared" si="70"/>
        <v>322.79999999999995</v>
      </c>
      <c r="U80" s="165">
        <f t="shared" si="71"/>
        <v>-100.20000000000005</v>
      </c>
    </row>
    <row r="81" spans="1:21">
      <c r="A81" s="136" t="s">
        <v>567</v>
      </c>
      <c r="B81" s="141">
        <f>+'2007 Stlgt Rates'!F70</f>
        <v>33.68</v>
      </c>
      <c r="C81" s="138">
        <f>+'Schedule 1'!E46</f>
        <v>0</v>
      </c>
      <c r="D81" s="138">
        <f t="shared" si="60"/>
        <v>0</v>
      </c>
      <c r="E81" s="141">
        <v>0</v>
      </c>
      <c r="F81" s="138">
        <f t="shared" si="61"/>
        <v>0</v>
      </c>
      <c r="G81" s="138">
        <f t="shared" si="62"/>
        <v>0</v>
      </c>
      <c r="H81" s="141">
        <v>0</v>
      </c>
      <c r="I81" s="138">
        <f t="shared" si="63"/>
        <v>0</v>
      </c>
      <c r="J81" s="138">
        <f t="shared" si="64"/>
        <v>0</v>
      </c>
      <c r="K81" s="138">
        <f t="shared" si="65"/>
        <v>0</v>
      </c>
      <c r="M81" s="165">
        <f t="shared" si="66"/>
        <v>0</v>
      </c>
      <c r="N81" s="165">
        <v>222</v>
      </c>
      <c r="O81" s="165">
        <f t="shared" si="67"/>
        <v>0</v>
      </c>
      <c r="P81" s="166">
        <f t="shared" si="68"/>
        <v>0</v>
      </c>
      <c r="Q81" s="105"/>
      <c r="R81" s="108">
        <f>+'Rates 2007 01 01'!D79</f>
        <v>25.74</v>
      </c>
      <c r="S81" s="166">
        <f t="shared" si="69"/>
        <v>0</v>
      </c>
      <c r="T81" s="138">
        <f t="shared" si="70"/>
        <v>0</v>
      </c>
      <c r="U81" s="165">
        <f t="shared" si="71"/>
        <v>0</v>
      </c>
    </row>
    <row r="82" spans="1:21">
      <c r="A82" s="142" t="s">
        <v>568</v>
      </c>
      <c r="B82" s="143">
        <f>+'2007 Stlgt Rates'!F140</f>
        <v>5.4539996000000004</v>
      </c>
      <c r="C82" s="153">
        <f>+'Schedule 1'!E47</f>
        <v>25</v>
      </c>
      <c r="D82" s="153">
        <f t="shared" si="60"/>
        <v>1636</v>
      </c>
      <c r="E82" s="143">
        <v>0</v>
      </c>
      <c r="F82" s="153">
        <f t="shared" si="61"/>
        <v>25</v>
      </c>
      <c r="G82" s="153">
        <f t="shared" si="62"/>
        <v>0</v>
      </c>
      <c r="H82" s="143">
        <v>0</v>
      </c>
      <c r="I82" s="153">
        <f t="shared" si="63"/>
        <v>25</v>
      </c>
      <c r="J82" s="153">
        <f t="shared" si="64"/>
        <v>0</v>
      </c>
      <c r="K82" s="153">
        <f t="shared" si="65"/>
        <v>1636</v>
      </c>
      <c r="M82" s="145">
        <f t="shared" si="66"/>
        <v>25</v>
      </c>
      <c r="N82" s="145">
        <v>47</v>
      </c>
      <c r="O82" s="145">
        <f t="shared" si="67"/>
        <v>1175</v>
      </c>
      <c r="P82" s="146">
        <f t="shared" si="68"/>
        <v>14100</v>
      </c>
      <c r="Q82" s="105"/>
      <c r="R82" s="97">
        <f>+'Rates 2007 01 01'!D81</f>
        <v>5.45</v>
      </c>
      <c r="S82" s="223">
        <f t="shared" si="69"/>
        <v>25</v>
      </c>
      <c r="T82" s="224">
        <f t="shared" si="70"/>
        <v>1635</v>
      </c>
      <c r="U82" s="225">
        <f t="shared" si="71"/>
        <v>-1</v>
      </c>
    </row>
    <row r="83" spans="1:21">
      <c r="A83" s="142" t="s">
        <v>569</v>
      </c>
      <c r="B83" s="143">
        <f>+'2007 Stlgt Rates'!F141</f>
        <v>6.9605647999999993</v>
      </c>
      <c r="C83" s="153">
        <f>+'Schedule 1'!E48</f>
        <v>0</v>
      </c>
      <c r="D83" s="153">
        <f t="shared" si="60"/>
        <v>0</v>
      </c>
      <c r="E83" s="143">
        <v>0</v>
      </c>
      <c r="F83" s="153">
        <f t="shared" si="61"/>
        <v>0</v>
      </c>
      <c r="G83" s="153">
        <f t="shared" si="62"/>
        <v>0</v>
      </c>
      <c r="H83" s="143">
        <v>0</v>
      </c>
      <c r="I83" s="153">
        <f t="shared" si="63"/>
        <v>0</v>
      </c>
      <c r="J83" s="153">
        <f t="shared" si="64"/>
        <v>0</v>
      </c>
      <c r="K83" s="153">
        <f t="shared" si="65"/>
        <v>0</v>
      </c>
      <c r="M83" s="145">
        <f t="shared" si="66"/>
        <v>0</v>
      </c>
      <c r="N83" s="145">
        <v>60</v>
      </c>
      <c r="O83" s="145">
        <f t="shared" si="67"/>
        <v>0</v>
      </c>
      <c r="P83" s="146">
        <f t="shared" si="68"/>
        <v>0</v>
      </c>
      <c r="Q83" s="105"/>
      <c r="R83" s="97">
        <f>+'Rates 2007 01 01'!D82</f>
        <v>6.96</v>
      </c>
      <c r="S83" s="223">
        <f t="shared" si="69"/>
        <v>0</v>
      </c>
      <c r="T83" s="224">
        <f t="shared" si="70"/>
        <v>0</v>
      </c>
      <c r="U83" s="225">
        <f t="shared" si="71"/>
        <v>0</v>
      </c>
    </row>
    <row r="84" spans="1:21">
      <c r="A84" s="136" t="s">
        <v>570</v>
      </c>
      <c r="B84" s="141">
        <f>+'2007 Stlgt Rates'!F72</f>
        <v>42.47</v>
      </c>
      <c r="C84" s="163">
        <f>+'Schedule 1'!E33</f>
        <v>78</v>
      </c>
      <c r="D84" s="163">
        <f t="shared" si="60"/>
        <v>39752</v>
      </c>
      <c r="E84" s="141">
        <v>0</v>
      </c>
      <c r="F84" s="163">
        <f t="shared" si="61"/>
        <v>78</v>
      </c>
      <c r="G84" s="163">
        <f t="shared" si="62"/>
        <v>0</v>
      </c>
      <c r="H84" s="141">
        <v>0</v>
      </c>
      <c r="I84" s="163">
        <f t="shared" si="63"/>
        <v>78</v>
      </c>
      <c r="J84" s="163">
        <f t="shared" si="64"/>
        <v>0</v>
      </c>
      <c r="K84" s="163">
        <f t="shared" si="65"/>
        <v>39752</v>
      </c>
      <c r="M84" s="165">
        <f t="shared" si="66"/>
        <v>78</v>
      </c>
      <c r="N84" s="165">
        <v>280</v>
      </c>
      <c r="O84" s="165">
        <f t="shared" si="67"/>
        <v>21840</v>
      </c>
      <c r="P84" s="166">
        <f t="shared" si="68"/>
        <v>262080</v>
      </c>
      <c r="Q84" s="105"/>
      <c r="R84" s="108">
        <f>+'Rates 2007 01 01'!D83</f>
        <v>32.47</v>
      </c>
      <c r="S84" s="166">
        <f t="shared" si="69"/>
        <v>78</v>
      </c>
      <c r="T84" s="138">
        <f t="shared" si="70"/>
        <v>30391.919999999998</v>
      </c>
      <c r="U84" s="165">
        <f t="shared" si="71"/>
        <v>-9360.0800000000017</v>
      </c>
    </row>
    <row r="85" spans="1:21">
      <c r="A85" s="126"/>
      <c r="B85" s="141"/>
      <c r="C85" s="138"/>
      <c r="D85" s="138"/>
      <c r="E85" s="141"/>
      <c r="F85" s="138"/>
      <c r="G85" s="138"/>
      <c r="H85" s="141"/>
      <c r="I85" s="138"/>
      <c r="J85" s="138"/>
      <c r="K85" s="138"/>
      <c r="M85" s="165"/>
      <c r="N85" s="165"/>
      <c r="O85" s="105"/>
      <c r="P85" s="105"/>
      <c r="Q85" s="105"/>
      <c r="R85" s="108"/>
      <c r="S85" s="105"/>
      <c r="T85" s="105"/>
      <c r="U85" s="165"/>
    </row>
    <row r="86" spans="1:21">
      <c r="A86" s="154" t="s">
        <v>33</v>
      </c>
      <c r="B86" s="141"/>
      <c r="C86" s="161">
        <f>SUM(C72:C85)</f>
        <v>203</v>
      </c>
      <c r="D86" s="161">
        <f>SUM(D72:D85)</f>
        <v>85750</v>
      </c>
      <c r="E86" s="141"/>
      <c r="F86" s="161">
        <f>SUM(F72:F85)</f>
        <v>203</v>
      </c>
      <c r="G86" s="161">
        <f>SUM(G72:G85)</f>
        <v>0</v>
      </c>
      <c r="H86" s="141"/>
      <c r="I86" s="161">
        <f>SUM(I72:I85)</f>
        <v>203</v>
      </c>
      <c r="J86" s="161">
        <f>SUM(J72:J85)</f>
        <v>0</v>
      </c>
      <c r="K86" s="161">
        <f>SUM(K72:K84)</f>
        <v>85750</v>
      </c>
      <c r="M86" s="165">
        <f>SUM(M72:M85)</f>
        <v>203</v>
      </c>
      <c r="N86" s="165"/>
      <c r="O86" s="165">
        <f>SUM(O72:O85)</f>
        <v>55310</v>
      </c>
      <c r="P86" s="165">
        <f>SUM(P72:P85)</f>
        <v>663720</v>
      </c>
      <c r="Q86" s="105"/>
      <c r="R86" s="108"/>
      <c r="S86" s="162">
        <f>SUM(S72:S85)</f>
        <v>203</v>
      </c>
      <c r="T86" s="162">
        <f>SUM(T72:T85)</f>
        <v>67188.169186800005</v>
      </c>
      <c r="U86" s="152">
        <f>SUM(U72:U85)</f>
        <v>-18561.830813200002</v>
      </c>
    </row>
    <row r="87" spans="1:21">
      <c r="A87" s="154"/>
      <c r="B87" s="141"/>
      <c r="C87" s="161"/>
      <c r="D87" s="161"/>
      <c r="E87" s="141"/>
      <c r="F87" s="161"/>
      <c r="G87" s="161"/>
      <c r="H87" s="141"/>
      <c r="I87" s="161"/>
      <c r="J87" s="161"/>
      <c r="K87" s="161"/>
      <c r="M87" s="165"/>
      <c r="N87" s="165"/>
      <c r="O87" s="165"/>
      <c r="P87" s="165"/>
      <c r="Q87" s="105"/>
      <c r="R87" s="108"/>
      <c r="S87" s="105"/>
      <c r="T87" s="105"/>
      <c r="U87" s="165"/>
    </row>
    <row r="88" spans="1:21">
      <c r="A88" s="154" t="s">
        <v>571</v>
      </c>
      <c r="B88" s="141"/>
      <c r="C88" s="138"/>
      <c r="D88" s="138"/>
      <c r="E88" s="141"/>
      <c r="F88" s="138"/>
      <c r="G88" s="138"/>
      <c r="H88" s="141"/>
      <c r="I88" s="138"/>
      <c r="J88" s="138"/>
      <c r="K88" s="138"/>
      <c r="M88" s="165"/>
      <c r="N88" s="165"/>
      <c r="O88" s="105"/>
      <c r="P88" s="105"/>
      <c r="Q88" s="105"/>
      <c r="R88" s="108"/>
      <c r="S88" s="105"/>
      <c r="T88" s="105"/>
      <c r="U88" s="165"/>
    </row>
    <row r="89" spans="1:21">
      <c r="A89" s="126"/>
      <c r="B89" s="141"/>
      <c r="C89" s="138"/>
      <c r="D89" s="138"/>
      <c r="E89" s="141"/>
      <c r="F89" s="138"/>
      <c r="G89" s="138"/>
      <c r="H89" s="141"/>
      <c r="I89" s="138"/>
      <c r="J89" s="138"/>
      <c r="K89" s="138"/>
      <c r="M89" s="165"/>
      <c r="N89" s="165"/>
      <c r="O89" s="105"/>
      <c r="P89" s="105"/>
      <c r="Q89" s="105"/>
      <c r="R89" s="105"/>
      <c r="S89" s="105"/>
      <c r="T89" s="105"/>
      <c r="U89" s="105"/>
    </row>
    <row r="90" spans="1:21">
      <c r="A90" s="136" t="s">
        <v>572</v>
      </c>
      <c r="B90" s="141">
        <f>+'2007 Stlgt Rates'!F78</f>
        <v>6.8</v>
      </c>
      <c r="C90" s="138">
        <f>+'Schedule 1'!C62</f>
        <v>2</v>
      </c>
      <c r="D90" s="138">
        <f>ROUND(B90*C90*12,0)</f>
        <v>163</v>
      </c>
      <c r="E90" s="141">
        <f>+'2007 Stlgt Rates'!G78</f>
        <v>2.5299999999999998</v>
      </c>
      <c r="F90" s="138">
        <f>+C90</f>
        <v>2</v>
      </c>
      <c r="G90" s="138">
        <f>ROUND(E90*F90*12,0)</f>
        <v>61</v>
      </c>
      <c r="H90" s="141">
        <f>+'2007 Stlgt Rates'!H78</f>
        <v>5.9500000000000011</v>
      </c>
      <c r="I90" s="138">
        <f>+F90</f>
        <v>2</v>
      </c>
      <c r="J90" s="138">
        <f>ROUND(H90*I90*12,0)</f>
        <v>143</v>
      </c>
      <c r="K90" s="138">
        <f>+D90+G90+J90</f>
        <v>367</v>
      </c>
      <c r="M90" s="165">
        <f>+I90</f>
        <v>2</v>
      </c>
      <c r="N90" s="165">
        <v>45</v>
      </c>
      <c r="O90" s="165">
        <f>M90*N90</f>
        <v>90</v>
      </c>
      <c r="P90" s="166">
        <f>O90*12</f>
        <v>1080</v>
      </c>
      <c r="Q90" s="105"/>
      <c r="R90" s="108">
        <f>+'Rates 2007 01 01'!D87</f>
        <v>5.22</v>
      </c>
      <c r="S90" s="166">
        <f>+M90</f>
        <v>2</v>
      </c>
      <c r="T90" s="138">
        <f>R90*S90*12</f>
        <v>125.28</v>
      </c>
      <c r="U90" s="165">
        <f>T90-D90</f>
        <v>-37.72</v>
      </c>
    </row>
    <row r="91" spans="1:21">
      <c r="A91" s="136" t="s">
        <v>573</v>
      </c>
      <c r="B91" s="141">
        <f>+'2007 Stlgt Rates'!F79</f>
        <v>9.11</v>
      </c>
      <c r="C91" s="138">
        <f>+'Schedule 1'!C60</f>
        <v>61</v>
      </c>
      <c r="D91" s="138">
        <f>ROUND(B91*C91*12,0)</f>
        <v>6669</v>
      </c>
      <c r="E91" s="141">
        <f>+'2007 Stlgt Rates'!G79</f>
        <v>2.5299999999999998</v>
      </c>
      <c r="F91" s="138">
        <f>+C91</f>
        <v>61</v>
      </c>
      <c r="G91" s="138">
        <f>ROUND(E91*F91*12,0)</f>
        <v>1852</v>
      </c>
      <c r="H91" s="141">
        <f>+'2007 Stlgt Rates'!H79</f>
        <v>5.9399999999999995</v>
      </c>
      <c r="I91" s="138">
        <f>+F91</f>
        <v>61</v>
      </c>
      <c r="J91" s="138">
        <f>ROUND(H91*I91*12,0)</f>
        <v>4348</v>
      </c>
      <c r="K91" s="138">
        <f>+D91+G91+J91</f>
        <v>12869</v>
      </c>
      <c r="M91" s="165">
        <f>+I91</f>
        <v>61</v>
      </c>
      <c r="N91" s="165">
        <v>60</v>
      </c>
      <c r="O91" s="165">
        <f>M91*N91</f>
        <v>3660</v>
      </c>
      <c r="P91" s="166">
        <f>O91*12</f>
        <v>43920</v>
      </c>
      <c r="Q91" s="105"/>
      <c r="R91" s="108">
        <f>+'Rates 2007 01 01'!D88</f>
        <v>6.96</v>
      </c>
      <c r="S91" s="166">
        <f>+M91</f>
        <v>61</v>
      </c>
      <c r="T91" s="138">
        <f>R91*S91*12</f>
        <v>5094.72</v>
      </c>
      <c r="U91" s="165">
        <f>T91-D91</f>
        <v>-1574.2799999999997</v>
      </c>
    </row>
    <row r="92" spans="1:21">
      <c r="A92" s="136" t="s">
        <v>574</v>
      </c>
      <c r="B92" s="141">
        <f>+'2007 Stlgt Rates'!F80</f>
        <v>12.15</v>
      </c>
      <c r="C92" s="138">
        <f>+'Schedule 1'!C61</f>
        <v>870</v>
      </c>
      <c r="D92" s="138">
        <f>ROUND(B92*C92*12,0)</f>
        <v>126846</v>
      </c>
      <c r="E92" s="141">
        <f>+'2007 Stlgt Rates'!G80</f>
        <v>2.5299999999999998</v>
      </c>
      <c r="F92" s="138">
        <f>+C92</f>
        <v>870</v>
      </c>
      <c r="G92" s="138">
        <f>ROUND(E92*F92*12,0)</f>
        <v>26413</v>
      </c>
      <c r="H92" s="141">
        <f>+'2007 Stlgt Rates'!H80</f>
        <v>5.93</v>
      </c>
      <c r="I92" s="138">
        <f>+F92</f>
        <v>870</v>
      </c>
      <c r="J92" s="138">
        <f>ROUND(H92*I92*12,0)</f>
        <v>61909</v>
      </c>
      <c r="K92" s="138">
        <f>+D92+G92+J92</f>
        <v>215168</v>
      </c>
      <c r="M92" s="165">
        <f>+I92</f>
        <v>870</v>
      </c>
      <c r="N92" s="165">
        <v>80</v>
      </c>
      <c r="O92" s="165">
        <f>M92*N92</f>
        <v>69600</v>
      </c>
      <c r="P92" s="166">
        <f>O92*12</f>
        <v>835200</v>
      </c>
      <c r="Q92" s="105"/>
      <c r="R92" s="108">
        <f>+'Rates 2007 01 01'!D89</f>
        <v>9.2799999999999994</v>
      </c>
      <c r="S92" s="166">
        <f>+M92</f>
        <v>870</v>
      </c>
      <c r="T92" s="138">
        <f>R92*S92*12</f>
        <v>96883.199999999997</v>
      </c>
      <c r="U92" s="165">
        <f>T92-D92</f>
        <v>-29962.800000000003</v>
      </c>
    </row>
    <row r="93" spans="1:21">
      <c r="A93" s="126"/>
      <c r="B93" s="141"/>
      <c r="C93" s="138"/>
      <c r="D93" s="138"/>
      <c r="E93" s="141"/>
      <c r="F93" s="138"/>
      <c r="G93" s="138"/>
      <c r="H93" s="141"/>
      <c r="I93" s="138"/>
      <c r="J93" s="138"/>
      <c r="K93" s="138"/>
      <c r="M93" s="165"/>
      <c r="N93" s="165"/>
      <c r="O93" s="105"/>
      <c r="P93" s="105"/>
      <c r="Q93" s="105"/>
      <c r="R93" s="108"/>
      <c r="S93" s="105"/>
      <c r="T93" s="105"/>
      <c r="U93" s="165"/>
    </row>
    <row r="94" spans="1:21">
      <c r="A94" s="136" t="s">
        <v>575</v>
      </c>
      <c r="B94" s="141">
        <f>+'2007 Stlgt Rates'!F81</f>
        <v>12.14</v>
      </c>
      <c r="C94" s="138">
        <f>+'Schedule 1'!D61</f>
        <v>43</v>
      </c>
      <c r="D94" s="138">
        <f>ROUND(B94*C94*12,0)</f>
        <v>6264</v>
      </c>
      <c r="E94" s="141">
        <f>+'2007 Stlgt Rates'!G81</f>
        <v>2.5299999999999998</v>
      </c>
      <c r="F94" s="138">
        <f>+C94</f>
        <v>43</v>
      </c>
      <c r="G94" s="138">
        <f>ROUND(E94*F94*12,0)</f>
        <v>1305</v>
      </c>
      <c r="H94" s="141">
        <f>+'2007 Stlgt Rates'!H81</f>
        <v>-2.0000000000000018E-2</v>
      </c>
      <c r="I94" s="138">
        <f>+F94</f>
        <v>43</v>
      </c>
      <c r="J94" s="215">
        <f>ROUND(H94*I94*12,0)</f>
        <v>-10</v>
      </c>
      <c r="K94" s="138">
        <f>+D94+G94+J94</f>
        <v>7559</v>
      </c>
      <c r="M94" s="165">
        <f>+I94</f>
        <v>43</v>
      </c>
      <c r="N94" s="165">
        <v>80</v>
      </c>
      <c r="O94" s="165">
        <f>M94*N94</f>
        <v>3440</v>
      </c>
      <c r="P94" s="166">
        <f>O94*12</f>
        <v>41280</v>
      </c>
      <c r="Q94" s="105"/>
      <c r="R94" s="108">
        <f>+'Rates 2007 01 01'!D91</f>
        <v>9.2799999999999994</v>
      </c>
      <c r="S94" s="166">
        <f>+M94</f>
        <v>43</v>
      </c>
      <c r="T94" s="138">
        <f>R94*S94*12</f>
        <v>4788.4799999999996</v>
      </c>
      <c r="U94" s="165">
        <f>T94-D94</f>
        <v>-1475.5200000000004</v>
      </c>
    </row>
    <row r="95" spans="1:21">
      <c r="A95" s="126"/>
      <c r="B95" s="141"/>
      <c r="C95" s="138"/>
      <c r="D95" s="138"/>
      <c r="E95" s="141"/>
      <c r="F95" s="138"/>
      <c r="G95" s="138"/>
      <c r="H95" s="141"/>
      <c r="I95" s="138"/>
      <c r="J95" s="138"/>
      <c r="K95" s="138"/>
      <c r="M95" s="165"/>
      <c r="N95" s="165"/>
      <c r="O95" s="105"/>
      <c r="P95" s="105"/>
      <c r="Q95" s="105"/>
      <c r="R95" s="108"/>
      <c r="S95" s="105"/>
      <c r="T95" s="105"/>
      <c r="U95" s="165"/>
    </row>
    <row r="96" spans="1:21">
      <c r="A96" s="142" t="s">
        <v>576</v>
      </c>
      <c r="B96" s="143">
        <f>+'2007 Stlgt Rates'!F147</f>
        <v>9.2729672000000001</v>
      </c>
      <c r="C96" s="144">
        <f>+'Schedule 1'!E61</f>
        <v>37</v>
      </c>
      <c r="D96" s="144">
        <f>ROUND(B96*C96*12,0)</f>
        <v>4117</v>
      </c>
      <c r="E96" s="143">
        <f>+'2007 Stlgt Rates'!G147</f>
        <v>0</v>
      </c>
      <c r="F96" s="144">
        <f>+C96</f>
        <v>37</v>
      </c>
      <c r="G96" s="144">
        <f>ROUND(E96*F96*12,0)</f>
        <v>0</v>
      </c>
      <c r="H96" s="143">
        <f>+'2007 Stlgt Rates'!H147</f>
        <v>0</v>
      </c>
      <c r="I96" s="153">
        <f>+F96</f>
        <v>37</v>
      </c>
      <c r="J96" s="144">
        <f>ROUND(H96*I96*12,0)</f>
        <v>0</v>
      </c>
      <c r="K96" s="144">
        <f>+D96+G96+J96</f>
        <v>4117</v>
      </c>
      <c r="M96" s="165">
        <f>+I96</f>
        <v>37</v>
      </c>
      <c r="N96" s="165">
        <v>80</v>
      </c>
      <c r="O96" s="165">
        <f>M96*N96</f>
        <v>2960</v>
      </c>
      <c r="P96" s="166">
        <f>O96*12</f>
        <v>35520</v>
      </c>
      <c r="Q96" s="105"/>
      <c r="R96" s="97">
        <f>+'Rates 2007 01 01'!D93</f>
        <v>9.2799999999999994</v>
      </c>
      <c r="S96" s="223">
        <f>+M96</f>
        <v>37</v>
      </c>
      <c r="T96" s="224">
        <f>R96*S96*12</f>
        <v>4120.32</v>
      </c>
      <c r="U96" s="225">
        <f>T96-D96</f>
        <v>3.319999999999709</v>
      </c>
    </row>
    <row r="97" spans="1:21">
      <c r="A97" s="126"/>
      <c r="B97" s="141"/>
      <c r="C97" s="138"/>
      <c r="D97" s="138"/>
      <c r="E97" s="141"/>
      <c r="F97" s="138"/>
      <c r="G97" s="138"/>
      <c r="H97" s="141"/>
      <c r="I97" s="138"/>
      <c r="J97" s="138"/>
      <c r="K97" s="138"/>
      <c r="M97" s="165"/>
      <c r="N97" s="165"/>
      <c r="O97" s="105"/>
      <c r="P97" s="105"/>
      <c r="Q97" s="105"/>
      <c r="R97" s="108"/>
      <c r="S97" s="105"/>
      <c r="T97" s="105"/>
      <c r="U97" s="165"/>
    </row>
    <row r="98" spans="1:21">
      <c r="A98" s="154" t="s">
        <v>33</v>
      </c>
      <c r="B98" s="141"/>
      <c r="C98" s="161">
        <f>SUM(C90:C96)</f>
        <v>1013</v>
      </c>
      <c r="D98" s="161">
        <f>SUM(D90:D96)</f>
        <v>144059</v>
      </c>
      <c r="E98" s="141"/>
      <c r="F98" s="161">
        <f>SUM(F90:F96)</f>
        <v>1013</v>
      </c>
      <c r="G98" s="161">
        <f>SUM(G90:G96)</f>
        <v>29631</v>
      </c>
      <c r="H98" s="141"/>
      <c r="I98" s="161">
        <f>SUM(I90:I96)</f>
        <v>1013</v>
      </c>
      <c r="J98" s="161">
        <f>SUM(J90:J96)</f>
        <v>66390</v>
      </c>
      <c r="K98" s="161">
        <f>SUM(K90:K96)</f>
        <v>240080</v>
      </c>
      <c r="M98" s="165">
        <f>SUM(M90:M97)</f>
        <v>1013</v>
      </c>
      <c r="N98" s="165"/>
      <c r="O98" s="165">
        <f>SUM(O90:O97)</f>
        <v>79750</v>
      </c>
      <c r="P98" s="165">
        <f>SUM(P90:P97)</f>
        <v>957000</v>
      </c>
      <c r="Q98" s="105"/>
      <c r="R98" s="108"/>
      <c r="S98" s="162">
        <f>SUM(S90:S97)</f>
        <v>1013</v>
      </c>
      <c r="T98" s="162">
        <f>SUM(T90:T97)</f>
        <v>111012</v>
      </c>
      <c r="U98" s="152">
        <f>SUM(U90:U97)</f>
        <v>-33047.000000000007</v>
      </c>
    </row>
    <row r="99" spans="1:21">
      <c r="A99" s="126"/>
      <c r="B99" s="141"/>
      <c r="C99" s="138"/>
      <c r="D99" s="138"/>
      <c r="E99" s="141"/>
      <c r="F99" s="138"/>
      <c r="G99" s="138"/>
      <c r="H99" s="141"/>
      <c r="I99" s="138"/>
      <c r="J99" s="138"/>
      <c r="K99" s="138"/>
      <c r="M99" s="165"/>
      <c r="N99" s="165"/>
      <c r="O99" s="105"/>
      <c r="P99" s="105"/>
      <c r="Q99" s="105"/>
      <c r="R99" s="108"/>
      <c r="S99" s="105"/>
      <c r="T99" s="105"/>
      <c r="U99" s="165"/>
    </row>
    <row r="100" spans="1:21">
      <c r="A100" s="154" t="s">
        <v>613</v>
      </c>
      <c r="B100" s="141"/>
      <c r="C100" s="138"/>
      <c r="D100" s="138"/>
      <c r="E100" s="141"/>
      <c r="F100" s="138"/>
      <c r="G100" s="138"/>
      <c r="H100" s="141"/>
      <c r="I100" s="138"/>
      <c r="J100" s="138"/>
      <c r="K100" s="138"/>
      <c r="M100" s="165"/>
      <c r="N100" s="165"/>
      <c r="O100" s="105"/>
      <c r="P100" s="105"/>
      <c r="Q100" s="105"/>
      <c r="R100" s="108"/>
      <c r="S100" s="105"/>
      <c r="T100" s="105"/>
      <c r="U100" s="165"/>
    </row>
    <row r="101" spans="1:21">
      <c r="A101" s="126"/>
      <c r="B101" s="141"/>
      <c r="C101" s="138"/>
      <c r="D101" s="138"/>
      <c r="E101" s="141"/>
      <c r="F101" s="138"/>
      <c r="G101" s="138"/>
      <c r="H101" s="141"/>
      <c r="I101" s="138"/>
      <c r="J101" s="138"/>
      <c r="K101" s="138"/>
      <c r="M101" s="165"/>
      <c r="N101" s="165"/>
      <c r="O101" s="105"/>
      <c r="P101" s="105"/>
      <c r="Q101" s="105"/>
      <c r="R101" s="108"/>
      <c r="S101" s="105"/>
      <c r="T101" s="105"/>
      <c r="U101" s="165"/>
    </row>
    <row r="102" spans="1:21">
      <c r="A102" s="136" t="s">
        <v>577</v>
      </c>
      <c r="B102" s="141">
        <f>+'2007 Stlgt Rates'!F87</f>
        <v>4.87</v>
      </c>
      <c r="C102" s="138">
        <f>+'Schedule 1'!C53</f>
        <v>38321</v>
      </c>
      <c r="D102" s="138">
        <f t="shared" ref="D102:D107" si="72">ROUND(B102*C102*12,0)</f>
        <v>2239479</v>
      </c>
      <c r="E102" s="141">
        <f>+'2007 Stlgt Rates'!G87</f>
        <v>1</v>
      </c>
      <c r="F102" s="138">
        <f t="shared" ref="F102:F107" si="73">+C102</f>
        <v>38321</v>
      </c>
      <c r="G102" s="138">
        <f t="shared" ref="G102:G107" si="74">ROUND(E102*F102*12,0)</f>
        <v>459852</v>
      </c>
      <c r="H102" s="141">
        <f>+'2007 Stlgt Rates'!H87</f>
        <v>5.94</v>
      </c>
      <c r="I102" s="138">
        <f t="shared" ref="I102:I107" si="75">+F102</f>
        <v>38321</v>
      </c>
      <c r="J102" s="138">
        <f t="shared" ref="J102:J107" si="76">ROUND(H102*I102*12,0)</f>
        <v>2731521</v>
      </c>
      <c r="K102" s="138">
        <f t="shared" ref="K102:K107" si="77">+D102+G102+J102</f>
        <v>5430852</v>
      </c>
      <c r="M102" s="165">
        <f t="shared" ref="M102:M107" si="78">+I102</f>
        <v>38321</v>
      </c>
      <c r="N102" s="165">
        <v>32</v>
      </c>
      <c r="O102" s="165">
        <f t="shared" ref="O102:O107" si="79">M102*N102</f>
        <v>1226272</v>
      </c>
      <c r="P102" s="166">
        <f t="shared" ref="P102:P107" si="80">O102*12</f>
        <v>14715264</v>
      </c>
      <c r="Q102" s="105"/>
      <c r="R102" s="108">
        <f>+'Rates 2007 01 01'!D97</f>
        <v>3.71</v>
      </c>
      <c r="S102" s="166">
        <f t="shared" ref="S102:S107" si="81">+M102</f>
        <v>38321</v>
      </c>
      <c r="T102" s="138">
        <f t="shared" ref="T102:T107" si="82">R102*S102*12</f>
        <v>1706050.92</v>
      </c>
      <c r="U102" s="165">
        <f t="shared" ref="U102:U107" si="83">T102-D102</f>
        <v>-533428.08000000007</v>
      </c>
    </row>
    <row r="103" spans="1:21">
      <c r="A103" s="136" t="s">
        <v>578</v>
      </c>
      <c r="B103" s="141">
        <f>+'2007 Stlgt Rates'!F89</f>
        <v>6.84</v>
      </c>
      <c r="C103" s="138">
        <f>+'Schedule 1'!C54</f>
        <v>45889</v>
      </c>
      <c r="D103" s="138">
        <f t="shared" si="72"/>
        <v>3766569</v>
      </c>
      <c r="E103" s="141">
        <f>+'2007 Stlgt Rates'!G89</f>
        <v>1</v>
      </c>
      <c r="F103" s="138">
        <f t="shared" si="73"/>
        <v>45889</v>
      </c>
      <c r="G103" s="138">
        <f t="shared" si="74"/>
        <v>550668</v>
      </c>
      <c r="H103" s="141">
        <f>+'2007 Stlgt Rates'!H89</f>
        <v>5.9399999999999995</v>
      </c>
      <c r="I103" s="138">
        <f t="shared" si="75"/>
        <v>45889</v>
      </c>
      <c r="J103" s="138">
        <f t="shared" si="76"/>
        <v>3270968</v>
      </c>
      <c r="K103" s="138">
        <f t="shared" si="77"/>
        <v>7588205</v>
      </c>
      <c r="M103" s="165">
        <f t="shared" si="78"/>
        <v>45889</v>
      </c>
      <c r="N103" s="165">
        <v>45</v>
      </c>
      <c r="O103" s="165">
        <f t="shared" si="79"/>
        <v>2065005</v>
      </c>
      <c r="P103" s="166">
        <f t="shared" si="80"/>
        <v>24780060</v>
      </c>
      <c r="Q103" s="105"/>
      <c r="R103" s="108">
        <f>+'Rates 2007 01 01'!D98</f>
        <v>5.22</v>
      </c>
      <c r="S103" s="166">
        <f t="shared" si="81"/>
        <v>45889</v>
      </c>
      <c r="T103" s="138">
        <f t="shared" si="82"/>
        <v>2874486.96</v>
      </c>
      <c r="U103" s="165">
        <f t="shared" si="83"/>
        <v>-892082.04</v>
      </c>
    </row>
    <row r="104" spans="1:21">
      <c r="A104" s="136" t="s">
        <v>579</v>
      </c>
      <c r="B104" s="141">
        <f>+'2007 Stlgt Rates'!F91</f>
        <v>9.8800000000000008</v>
      </c>
      <c r="C104" s="138">
        <f>+'Schedule 1'!C55</f>
        <v>5241</v>
      </c>
      <c r="D104" s="138">
        <f t="shared" si="72"/>
        <v>621373</v>
      </c>
      <c r="E104" s="141">
        <f>+'2007 Stlgt Rates'!G91</f>
        <v>1</v>
      </c>
      <c r="F104" s="138">
        <f t="shared" si="73"/>
        <v>5241</v>
      </c>
      <c r="G104" s="138">
        <f t="shared" si="74"/>
        <v>62892</v>
      </c>
      <c r="H104" s="141">
        <f>+'2007 Stlgt Rates'!H91</f>
        <v>5.9499999999999975</v>
      </c>
      <c r="I104" s="138">
        <f t="shared" si="75"/>
        <v>5241</v>
      </c>
      <c r="J104" s="138">
        <f t="shared" si="76"/>
        <v>374207</v>
      </c>
      <c r="K104" s="138">
        <f t="shared" si="77"/>
        <v>1058472</v>
      </c>
      <c r="M104" s="165">
        <f t="shared" si="78"/>
        <v>5241</v>
      </c>
      <c r="N104" s="165">
        <v>65</v>
      </c>
      <c r="O104" s="165">
        <f t="shared" si="79"/>
        <v>340665</v>
      </c>
      <c r="P104" s="166">
        <f t="shared" si="80"/>
        <v>4087980</v>
      </c>
      <c r="Q104" s="105"/>
      <c r="R104" s="108">
        <f>+'Rates 2007 01 01'!D99</f>
        <v>7.54</v>
      </c>
      <c r="S104" s="166">
        <f t="shared" si="81"/>
        <v>5241</v>
      </c>
      <c r="T104" s="138">
        <f t="shared" si="82"/>
        <v>474205.68</v>
      </c>
      <c r="U104" s="165">
        <f t="shared" si="83"/>
        <v>-147167.32</v>
      </c>
    </row>
    <row r="105" spans="1:21">
      <c r="A105" s="136" t="s">
        <v>580</v>
      </c>
      <c r="B105" s="141">
        <f>+'2007 Stlgt Rates'!F93</f>
        <v>15.18</v>
      </c>
      <c r="C105" s="138">
        <f>+'Schedule 1'!C51</f>
        <v>5256</v>
      </c>
      <c r="D105" s="138">
        <f t="shared" si="72"/>
        <v>957433</v>
      </c>
      <c r="E105" s="141">
        <f>+'2007 Stlgt Rates'!G93</f>
        <v>1</v>
      </c>
      <c r="F105" s="138">
        <f t="shared" si="73"/>
        <v>5256</v>
      </c>
      <c r="G105" s="138">
        <f t="shared" si="74"/>
        <v>63072</v>
      </c>
      <c r="H105" s="141">
        <f>+'2007 Stlgt Rates'!H93</f>
        <v>5.9499999999999993</v>
      </c>
      <c r="I105" s="138">
        <f t="shared" si="75"/>
        <v>5256</v>
      </c>
      <c r="J105" s="138">
        <f t="shared" si="76"/>
        <v>375278</v>
      </c>
      <c r="K105" s="138">
        <f t="shared" si="77"/>
        <v>1395783</v>
      </c>
      <c r="M105" s="165">
        <f t="shared" si="78"/>
        <v>5256</v>
      </c>
      <c r="N105" s="165">
        <v>100</v>
      </c>
      <c r="O105" s="165">
        <f t="shared" si="79"/>
        <v>525600</v>
      </c>
      <c r="P105" s="166">
        <f t="shared" si="80"/>
        <v>6307200</v>
      </c>
      <c r="Q105" s="105"/>
      <c r="R105" s="108">
        <f>+'Rates 2007 01 01'!D100</f>
        <v>11.6</v>
      </c>
      <c r="S105" s="166">
        <f t="shared" si="81"/>
        <v>5256</v>
      </c>
      <c r="T105" s="138">
        <f t="shared" si="82"/>
        <v>731635.19999999995</v>
      </c>
      <c r="U105" s="165">
        <f t="shared" si="83"/>
        <v>-225797.80000000005</v>
      </c>
    </row>
    <row r="106" spans="1:21">
      <c r="A106" s="136" t="s">
        <v>581</v>
      </c>
      <c r="B106" s="141">
        <f>+'2007 Stlgt Rates'!F95</f>
        <v>22.74</v>
      </c>
      <c r="C106" s="138">
        <f>+'Schedule 1'!C52</f>
        <v>3667</v>
      </c>
      <c r="D106" s="138">
        <f t="shared" si="72"/>
        <v>1000651</v>
      </c>
      <c r="E106" s="141">
        <f>+'2007 Stlgt Rates'!G95</f>
        <v>1</v>
      </c>
      <c r="F106" s="138">
        <f t="shared" si="73"/>
        <v>3667</v>
      </c>
      <c r="G106" s="138">
        <f t="shared" si="74"/>
        <v>44004</v>
      </c>
      <c r="H106" s="141">
        <f>+'2007 Stlgt Rates'!H95</f>
        <v>5.9500000000000028</v>
      </c>
      <c r="I106" s="138">
        <f t="shared" si="75"/>
        <v>3667</v>
      </c>
      <c r="J106" s="138">
        <f t="shared" si="76"/>
        <v>261824</v>
      </c>
      <c r="K106" s="138">
        <f t="shared" si="77"/>
        <v>1306479</v>
      </c>
      <c r="M106" s="165">
        <f t="shared" si="78"/>
        <v>3667</v>
      </c>
      <c r="N106" s="165">
        <v>150</v>
      </c>
      <c r="O106" s="165">
        <f t="shared" si="79"/>
        <v>550050</v>
      </c>
      <c r="P106" s="166">
        <f t="shared" si="80"/>
        <v>6600600</v>
      </c>
      <c r="Q106" s="105"/>
      <c r="R106" s="108">
        <f>+'Rates 2007 01 01'!D101</f>
        <v>17.39</v>
      </c>
      <c r="S106" s="166">
        <f t="shared" si="81"/>
        <v>3667</v>
      </c>
      <c r="T106" s="138">
        <f t="shared" si="82"/>
        <v>765229.56</v>
      </c>
      <c r="U106" s="165">
        <f t="shared" si="83"/>
        <v>-235421.43999999994</v>
      </c>
    </row>
    <row r="107" spans="1:21">
      <c r="A107" s="142" t="s">
        <v>696</v>
      </c>
      <c r="B107" s="143">
        <f>+'2007 Stlgt Rates'!F153</f>
        <v>42.1137528</v>
      </c>
      <c r="C107" s="153">
        <v>7</v>
      </c>
      <c r="D107" s="153">
        <f t="shared" si="72"/>
        <v>3538</v>
      </c>
      <c r="E107" s="143">
        <f>+'2007 Stlgt Rates'!G153</f>
        <v>4.5430532000000001</v>
      </c>
      <c r="F107" s="153">
        <f t="shared" si="73"/>
        <v>7</v>
      </c>
      <c r="G107" s="153">
        <f t="shared" si="74"/>
        <v>382</v>
      </c>
      <c r="H107" s="143">
        <f>+'2007 Stlgt Rates'!H153</f>
        <v>19.246662399999995</v>
      </c>
      <c r="I107" s="153">
        <f t="shared" si="75"/>
        <v>7</v>
      </c>
      <c r="J107" s="153">
        <f t="shared" si="76"/>
        <v>1617</v>
      </c>
      <c r="K107" s="153">
        <f t="shared" si="77"/>
        <v>5537</v>
      </c>
      <c r="M107" s="145">
        <f t="shared" si="78"/>
        <v>7</v>
      </c>
      <c r="N107" s="145">
        <v>363</v>
      </c>
      <c r="O107" s="145">
        <f t="shared" si="79"/>
        <v>2541</v>
      </c>
      <c r="P107" s="146">
        <f t="shared" si="80"/>
        <v>30492</v>
      </c>
      <c r="Q107" s="105"/>
      <c r="R107" s="97">
        <f>+'Rates 2007 01 01'!D103</f>
        <v>42.110000000000007</v>
      </c>
      <c r="S107" s="223">
        <f t="shared" si="81"/>
        <v>7</v>
      </c>
      <c r="T107" s="224">
        <f t="shared" si="82"/>
        <v>3537.2400000000007</v>
      </c>
      <c r="U107" s="225">
        <f t="shared" si="83"/>
        <v>-0.75999999999930878</v>
      </c>
    </row>
    <row r="108" spans="1:21">
      <c r="A108" s="126"/>
      <c r="B108" s="141"/>
      <c r="C108" s="138"/>
      <c r="D108" s="138"/>
      <c r="E108" s="141"/>
      <c r="F108" s="138"/>
      <c r="G108" s="138"/>
      <c r="H108" s="141"/>
      <c r="I108" s="138"/>
      <c r="J108" s="138"/>
      <c r="K108" s="138"/>
      <c r="M108" s="165"/>
      <c r="N108" s="165"/>
      <c r="O108" s="105"/>
      <c r="P108" s="105"/>
      <c r="Q108" s="105"/>
      <c r="R108" s="108"/>
      <c r="S108" s="105"/>
      <c r="T108" s="105"/>
      <c r="U108" s="165"/>
    </row>
    <row r="109" spans="1:21">
      <c r="A109" s="136" t="s">
        <v>582</v>
      </c>
      <c r="B109" s="141">
        <f>+'2007 Stlgt Rates'!F88</f>
        <v>4.8600000000000003</v>
      </c>
      <c r="C109" s="138">
        <f>+'Schedule 1'!D53</f>
        <v>224</v>
      </c>
      <c r="D109" s="138">
        <f>ROUND(B109*C109*12,0)</f>
        <v>13064</v>
      </c>
      <c r="E109" s="141">
        <f>+'2007 Stlgt Rates'!G88</f>
        <v>1</v>
      </c>
      <c r="F109" s="138">
        <f>+C109</f>
        <v>224</v>
      </c>
      <c r="G109" s="138">
        <f>ROUND(E109*F109*12,0)</f>
        <v>2688</v>
      </c>
      <c r="H109" s="141">
        <f>+'2007 Stlgt Rates'!H88</f>
        <v>0</v>
      </c>
      <c r="I109" s="138">
        <f>+F109</f>
        <v>224</v>
      </c>
      <c r="J109" s="138">
        <f>ROUND(H109*I109*12,0)</f>
        <v>0</v>
      </c>
      <c r="K109" s="138">
        <f>+D109+G109+J109</f>
        <v>15752</v>
      </c>
      <c r="M109" s="165">
        <f>+I109</f>
        <v>224</v>
      </c>
      <c r="N109" s="165">
        <v>32</v>
      </c>
      <c r="O109" s="165">
        <f>M109*N109</f>
        <v>7168</v>
      </c>
      <c r="P109" s="166">
        <f>O109*12</f>
        <v>86016</v>
      </c>
      <c r="Q109" s="105"/>
      <c r="R109" s="108">
        <f>+'Rates 2007 01 01'!D105</f>
        <v>3.71</v>
      </c>
      <c r="S109" s="166">
        <f>+M109</f>
        <v>224</v>
      </c>
      <c r="T109" s="138">
        <f>R109*S109*12</f>
        <v>9972.48</v>
      </c>
      <c r="U109" s="165">
        <f>T109-D109</f>
        <v>-3091.5200000000004</v>
      </c>
    </row>
    <row r="110" spans="1:21">
      <c r="A110" s="136" t="s">
        <v>583</v>
      </c>
      <c r="B110" s="141">
        <f>+'2007 Stlgt Rates'!F90</f>
        <v>6.82</v>
      </c>
      <c r="C110" s="138">
        <f>+'Schedule 1'!D54</f>
        <v>110</v>
      </c>
      <c r="D110" s="138">
        <f>ROUND(B110*C110*12,0)</f>
        <v>9002</v>
      </c>
      <c r="E110" s="141">
        <f>+'2007 Stlgt Rates'!G90</f>
        <v>1</v>
      </c>
      <c r="F110" s="138">
        <f>+C110</f>
        <v>110</v>
      </c>
      <c r="G110" s="138">
        <f>ROUND(E110*F110*12,0)</f>
        <v>1320</v>
      </c>
      <c r="H110" s="141">
        <f>+'2007 Stlgt Rates'!H90</f>
        <v>9.9999999999997868E-3</v>
      </c>
      <c r="I110" s="138">
        <f>+F110</f>
        <v>110</v>
      </c>
      <c r="J110" s="138">
        <f>ROUND(H110*I110*12,0)</f>
        <v>13</v>
      </c>
      <c r="K110" s="138">
        <f>+D110+G110+J110</f>
        <v>10335</v>
      </c>
      <c r="M110" s="165">
        <f>+I110</f>
        <v>110</v>
      </c>
      <c r="N110" s="165">
        <v>45</v>
      </c>
      <c r="O110" s="165">
        <f>M110*N110</f>
        <v>4950</v>
      </c>
      <c r="P110" s="166">
        <f>O110*12</f>
        <v>59400</v>
      </c>
      <c r="Q110" s="105"/>
      <c r="R110" s="108">
        <f>+'Rates 2007 01 01'!D106</f>
        <v>5.22</v>
      </c>
      <c r="S110" s="166">
        <f>+M110</f>
        <v>110</v>
      </c>
      <c r="T110" s="138">
        <f>R110*S110*12</f>
        <v>6890.4</v>
      </c>
      <c r="U110" s="165">
        <f>T110-D110</f>
        <v>-2111.6000000000004</v>
      </c>
    </row>
    <row r="111" spans="1:21">
      <c r="A111" s="136" t="s">
        <v>584</v>
      </c>
      <c r="B111" s="141">
        <f>+'2007 Stlgt Rates'!F92</f>
        <v>9.86</v>
      </c>
      <c r="C111" s="138">
        <f>+'Schedule 1'!D55</f>
        <v>232</v>
      </c>
      <c r="D111" s="138">
        <f>ROUND(B111*C111*12,0)</f>
        <v>27450</v>
      </c>
      <c r="E111" s="141">
        <f>+'2007 Stlgt Rates'!G92</f>
        <v>1</v>
      </c>
      <c r="F111" s="138">
        <f>+C111</f>
        <v>232</v>
      </c>
      <c r="G111" s="138">
        <f>ROUND(E111*F111*12,0)</f>
        <v>2784</v>
      </c>
      <c r="H111" s="141">
        <f>+'2007 Stlgt Rates'!H92</f>
        <v>0</v>
      </c>
      <c r="I111" s="138">
        <f>+F111</f>
        <v>232</v>
      </c>
      <c r="J111" s="138">
        <f>ROUND(H111*I111*12,0)</f>
        <v>0</v>
      </c>
      <c r="K111" s="138">
        <f>+D111+G111+J111</f>
        <v>30234</v>
      </c>
      <c r="M111" s="165">
        <f>+I111</f>
        <v>232</v>
      </c>
      <c r="N111" s="165">
        <v>65</v>
      </c>
      <c r="O111" s="165">
        <f>M111*N111</f>
        <v>15080</v>
      </c>
      <c r="P111" s="166">
        <f>O111*12</f>
        <v>180960</v>
      </c>
      <c r="Q111" s="105"/>
      <c r="R111" s="108">
        <f>+'Rates 2007 01 01'!D107</f>
        <v>7.54</v>
      </c>
      <c r="S111" s="166">
        <f>+M111</f>
        <v>232</v>
      </c>
      <c r="T111" s="138">
        <f>R111*S111*12</f>
        <v>20991.360000000001</v>
      </c>
      <c r="U111" s="165">
        <f>T111-D111</f>
        <v>-6458.6399999999994</v>
      </c>
    </row>
    <row r="112" spans="1:21">
      <c r="A112" s="136" t="s">
        <v>585</v>
      </c>
      <c r="B112" s="141">
        <f>+'2007 Stlgt Rates'!F94</f>
        <v>15.19</v>
      </c>
      <c r="C112" s="138">
        <f>+'Schedule 1'!D51</f>
        <v>160</v>
      </c>
      <c r="D112" s="138">
        <f>ROUND(B112*C112*12,0)</f>
        <v>29165</v>
      </c>
      <c r="E112" s="141">
        <f>+'2007 Stlgt Rates'!G94</f>
        <v>1</v>
      </c>
      <c r="F112" s="138">
        <f>+C112</f>
        <v>160</v>
      </c>
      <c r="G112" s="138">
        <f>ROUND(E112*F112*12,0)</f>
        <v>1920</v>
      </c>
      <c r="H112" s="141">
        <f>+'2007 Stlgt Rates'!H94</f>
        <v>9.9999999999997868E-3</v>
      </c>
      <c r="I112" s="138">
        <f>+F112</f>
        <v>160</v>
      </c>
      <c r="J112" s="138">
        <f>ROUND(H112*I112*12,0)</f>
        <v>19</v>
      </c>
      <c r="K112" s="138">
        <f>+D112+G112+J112</f>
        <v>31104</v>
      </c>
      <c r="M112" s="165">
        <f>+I112</f>
        <v>160</v>
      </c>
      <c r="N112" s="165">
        <v>100</v>
      </c>
      <c r="O112" s="165">
        <f>M112*N112</f>
        <v>16000</v>
      </c>
      <c r="P112" s="166">
        <f>O112*12</f>
        <v>192000</v>
      </c>
      <c r="Q112" s="105"/>
      <c r="R112" s="108">
        <f>+'Rates 2007 01 01'!D108</f>
        <v>11.6</v>
      </c>
      <c r="S112" s="166">
        <f>+M112</f>
        <v>160</v>
      </c>
      <c r="T112" s="138">
        <f>R112*S112*12</f>
        <v>22272</v>
      </c>
      <c r="U112" s="165">
        <f>T112-D112</f>
        <v>-6893</v>
      </c>
    </row>
    <row r="113" spans="1:21">
      <c r="A113" s="126"/>
      <c r="B113" s="141"/>
      <c r="C113" s="138"/>
      <c r="D113" s="138"/>
      <c r="E113" s="141"/>
      <c r="F113" s="138"/>
      <c r="G113" s="138"/>
      <c r="H113" s="141"/>
      <c r="I113" s="138"/>
      <c r="J113" s="138"/>
      <c r="K113" s="138"/>
      <c r="M113" s="165"/>
      <c r="N113" s="165"/>
      <c r="O113" s="105"/>
      <c r="P113" s="105"/>
      <c r="Q113" s="105"/>
      <c r="R113" s="108"/>
      <c r="S113" s="105"/>
      <c r="T113" s="105"/>
      <c r="U113" s="165"/>
    </row>
    <row r="114" spans="1:21">
      <c r="A114" s="142" t="s">
        <v>586</v>
      </c>
      <c r="B114" s="143">
        <f>+'2007 Stlgt Rates'!F155</f>
        <v>3.7229295999999992</v>
      </c>
      <c r="C114" s="153">
        <f>+'Schedule 1'!E53</f>
        <v>6299</v>
      </c>
      <c r="D114" s="153">
        <f t="shared" ref="D114:D119" si="84">ROUND(B114*C114*12,0)</f>
        <v>281409</v>
      </c>
      <c r="E114" s="143">
        <f>+'2007 Stlgt Rates'!G155</f>
        <v>0</v>
      </c>
      <c r="F114" s="153">
        <f t="shared" ref="F114:F119" si="85">+C114</f>
        <v>6299</v>
      </c>
      <c r="G114" s="153">
        <f t="shared" ref="G114:G119" si="86">ROUND(E114*F114*12,0)</f>
        <v>0</v>
      </c>
      <c r="H114" s="143">
        <f>+'2007 Stlgt Rates'!H155</f>
        <v>0</v>
      </c>
      <c r="I114" s="153">
        <f t="shared" ref="I114:I119" si="87">+F114</f>
        <v>6299</v>
      </c>
      <c r="J114" s="153">
        <f t="shared" ref="J114:J119" si="88">ROUND(H114*I114*12,0)</f>
        <v>0</v>
      </c>
      <c r="K114" s="153">
        <f t="shared" ref="K114:K119" si="89">+D114+G114+J114</f>
        <v>281409</v>
      </c>
      <c r="M114" s="145">
        <f t="shared" ref="M114:M119" si="90">+I114</f>
        <v>6299</v>
      </c>
      <c r="N114" s="145">
        <v>32</v>
      </c>
      <c r="O114" s="145">
        <f t="shared" ref="O114:O119" si="91">M114*N114</f>
        <v>201568</v>
      </c>
      <c r="P114" s="146">
        <f t="shared" ref="P114:P119" si="92">O114*12</f>
        <v>2418816</v>
      </c>
      <c r="Q114" s="105"/>
      <c r="R114" s="97">
        <f>+'Rates 2007 01 01'!D110</f>
        <v>3.71</v>
      </c>
      <c r="S114" s="223">
        <f t="shared" ref="S114:S119" si="93">+M114</f>
        <v>6299</v>
      </c>
      <c r="T114" s="224">
        <f t="shared" ref="T114:T119" si="94">R114*S114*12</f>
        <v>280431.48</v>
      </c>
      <c r="U114" s="225">
        <f t="shared" ref="U114:U119" si="95">T114-D114</f>
        <v>-977.52000000001863</v>
      </c>
    </row>
    <row r="115" spans="1:21">
      <c r="A115" s="142" t="s">
        <v>587</v>
      </c>
      <c r="B115" s="143">
        <f>+'2007 Stlgt Rates'!F156</f>
        <v>5.2204235999999993</v>
      </c>
      <c r="C115" s="153">
        <f>+'Schedule 1'!E54</f>
        <v>2508</v>
      </c>
      <c r="D115" s="153">
        <f t="shared" si="84"/>
        <v>157114</v>
      </c>
      <c r="E115" s="143">
        <f>+'2007 Stlgt Rates'!G156</f>
        <v>0</v>
      </c>
      <c r="F115" s="153">
        <f t="shared" si="85"/>
        <v>2508</v>
      </c>
      <c r="G115" s="153">
        <f t="shared" si="86"/>
        <v>0</v>
      </c>
      <c r="H115" s="143">
        <f>+'2007 Stlgt Rates'!H156</f>
        <v>0</v>
      </c>
      <c r="I115" s="153">
        <f t="shared" si="87"/>
        <v>2508</v>
      </c>
      <c r="J115" s="153">
        <f t="shared" si="88"/>
        <v>0</v>
      </c>
      <c r="K115" s="153">
        <f t="shared" si="89"/>
        <v>157114</v>
      </c>
      <c r="M115" s="145">
        <f t="shared" si="90"/>
        <v>2508</v>
      </c>
      <c r="N115" s="145">
        <v>45</v>
      </c>
      <c r="O115" s="145">
        <f t="shared" si="91"/>
        <v>112860</v>
      </c>
      <c r="P115" s="146">
        <f t="shared" si="92"/>
        <v>1354320</v>
      </c>
      <c r="Q115" s="105"/>
      <c r="R115" s="97">
        <f>+'Rates 2007 01 01'!D111</f>
        <v>5.22</v>
      </c>
      <c r="S115" s="223">
        <f t="shared" si="93"/>
        <v>2508</v>
      </c>
      <c r="T115" s="224">
        <f t="shared" si="94"/>
        <v>157101.12</v>
      </c>
      <c r="U115" s="225">
        <f t="shared" si="95"/>
        <v>-12.880000000004657</v>
      </c>
    </row>
    <row r="116" spans="1:21">
      <c r="A116" s="142" t="s">
        <v>588</v>
      </c>
      <c r="B116" s="143">
        <f>+'2007 Stlgt Rates'!F157</f>
        <v>7.532826</v>
      </c>
      <c r="C116" s="153">
        <f>+'Schedule 1'!E55</f>
        <v>1299</v>
      </c>
      <c r="D116" s="153">
        <f t="shared" si="84"/>
        <v>117422</v>
      </c>
      <c r="E116" s="143">
        <f>+'2007 Stlgt Rates'!G157</f>
        <v>0</v>
      </c>
      <c r="F116" s="153">
        <f t="shared" si="85"/>
        <v>1299</v>
      </c>
      <c r="G116" s="153">
        <f t="shared" si="86"/>
        <v>0</v>
      </c>
      <c r="H116" s="143">
        <f>+'2007 Stlgt Rates'!H157</f>
        <v>0</v>
      </c>
      <c r="I116" s="153">
        <f t="shared" si="87"/>
        <v>1299</v>
      </c>
      <c r="J116" s="153">
        <f t="shared" si="88"/>
        <v>0</v>
      </c>
      <c r="K116" s="153">
        <f t="shared" si="89"/>
        <v>117422</v>
      </c>
      <c r="M116" s="145">
        <f t="shared" si="90"/>
        <v>1299</v>
      </c>
      <c r="N116" s="145">
        <v>65</v>
      </c>
      <c r="O116" s="145">
        <f t="shared" si="91"/>
        <v>84435</v>
      </c>
      <c r="P116" s="146">
        <f t="shared" si="92"/>
        <v>1013220</v>
      </c>
      <c r="Q116" s="105"/>
      <c r="R116" s="97">
        <f>+'Rates 2007 01 01'!D112</f>
        <v>7.54</v>
      </c>
      <c r="S116" s="223">
        <f t="shared" si="93"/>
        <v>1299</v>
      </c>
      <c r="T116" s="224">
        <f t="shared" si="94"/>
        <v>117533.52000000002</v>
      </c>
      <c r="U116" s="225">
        <f t="shared" si="95"/>
        <v>111.52000000001863</v>
      </c>
    </row>
    <row r="117" spans="1:21">
      <c r="A117" s="142" t="s">
        <v>589</v>
      </c>
      <c r="B117" s="143">
        <f>+'2007 Stlgt Rates'!F158</f>
        <v>11.5970484</v>
      </c>
      <c r="C117" s="153">
        <f>+'Schedule 1'!E51</f>
        <v>1677</v>
      </c>
      <c r="D117" s="153">
        <f t="shared" si="84"/>
        <v>233379</v>
      </c>
      <c r="E117" s="143">
        <f>+'2007 Stlgt Rates'!G158</f>
        <v>0</v>
      </c>
      <c r="F117" s="153">
        <f t="shared" si="85"/>
        <v>1677</v>
      </c>
      <c r="G117" s="153">
        <f t="shared" si="86"/>
        <v>0</v>
      </c>
      <c r="H117" s="143">
        <f>+'2007 Stlgt Rates'!H158</f>
        <v>0</v>
      </c>
      <c r="I117" s="153">
        <f t="shared" si="87"/>
        <v>1677</v>
      </c>
      <c r="J117" s="153">
        <f t="shared" si="88"/>
        <v>0</v>
      </c>
      <c r="K117" s="153">
        <f t="shared" si="89"/>
        <v>233379</v>
      </c>
      <c r="M117" s="145">
        <f t="shared" si="90"/>
        <v>1677</v>
      </c>
      <c r="N117" s="145">
        <v>100</v>
      </c>
      <c r="O117" s="145">
        <f t="shared" si="91"/>
        <v>167700</v>
      </c>
      <c r="P117" s="146">
        <f t="shared" si="92"/>
        <v>2012400</v>
      </c>
      <c r="Q117" s="105"/>
      <c r="R117" s="97">
        <f>+'Rates 2007 01 01'!D113</f>
        <v>11.6</v>
      </c>
      <c r="S117" s="223">
        <f t="shared" si="93"/>
        <v>1677</v>
      </c>
      <c r="T117" s="224">
        <f t="shared" si="94"/>
        <v>233438.40000000002</v>
      </c>
      <c r="U117" s="225">
        <f t="shared" si="95"/>
        <v>59.400000000023283</v>
      </c>
    </row>
    <row r="118" spans="1:21">
      <c r="A118" s="142" t="s">
        <v>590</v>
      </c>
      <c r="B118" s="143">
        <f>+'2007 Stlgt Rates'!F159</f>
        <v>17.368983199999995</v>
      </c>
      <c r="C118" s="153">
        <f>+'Schedule 1'!E52</f>
        <v>86</v>
      </c>
      <c r="D118" s="153">
        <f t="shared" si="84"/>
        <v>17925</v>
      </c>
      <c r="E118" s="143">
        <f>+'2007 Stlgt Rates'!G159</f>
        <v>0</v>
      </c>
      <c r="F118" s="153">
        <f t="shared" si="85"/>
        <v>86</v>
      </c>
      <c r="G118" s="153">
        <f t="shared" si="86"/>
        <v>0</v>
      </c>
      <c r="H118" s="143">
        <f>+'2007 Stlgt Rates'!H159</f>
        <v>0</v>
      </c>
      <c r="I118" s="153">
        <f t="shared" si="87"/>
        <v>86</v>
      </c>
      <c r="J118" s="153">
        <f t="shared" si="88"/>
        <v>0</v>
      </c>
      <c r="K118" s="153">
        <f t="shared" si="89"/>
        <v>17925</v>
      </c>
      <c r="M118" s="145">
        <f t="shared" si="90"/>
        <v>86</v>
      </c>
      <c r="N118" s="145">
        <v>150</v>
      </c>
      <c r="O118" s="145">
        <f t="shared" si="91"/>
        <v>12900</v>
      </c>
      <c r="P118" s="146">
        <f t="shared" si="92"/>
        <v>154800</v>
      </c>
      <c r="Q118" s="105"/>
      <c r="R118" s="97">
        <f>+'Rates 2007 01 01'!D114</f>
        <v>17.39</v>
      </c>
      <c r="S118" s="223">
        <f t="shared" si="93"/>
        <v>86</v>
      </c>
      <c r="T118" s="224">
        <f t="shared" si="94"/>
        <v>17946.48</v>
      </c>
      <c r="U118" s="225">
        <f t="shared" si="95"/>
        <v>21.479999999999563</v>
      </c>
    </row>
    <row r="119" spans="1:21">
      <c r="A119" s="142" t="s">
        <v>591</v>
      </c>
      <c r="B119" s="143">
        <f>+'2007 Stlgt Rates'!F160</f>
        <v>21.243737200000002</v>
      </c>
      <c r="C119" s="144">
        <f>+'Schedule 1'!E56</f>
        <v>3</v>
      </c>
      <c r="D119" s="144">
        <f t="shared" si="84"/>
        <v>765</v>
      </c>
      <c r="E119" s="143">
        <f>+'2007 Stlgt Rates'!G160</f>
        <v>0</v>
      </c>
      <c r="F119" s="153">
        <f t="shared" si="85"/>
        <v>3</v>
      </c>
      <c r="G119" s="144">
        <f t="shared" si="86"/>
        <v>0</v>
      </c>
      <c r="H119" s="143">
        <f>+'2007 Stlgt Rates'!H160</f>
        <v>0</v>
      </c>
      <c r="I119" s="153">
        <f t="shared" si="87"/>
        <v>3</v>
      </c>
      <c r="J119" s="144">
        <f t="shared" si="88"/>
        <v>0</v>
      </c>
      <c r="K119" s="144">
        <f t="shared" si="89"/>
        <v>765</v>
      </c>
      <c r="M119" s="145">
        <f t="shared" si="90"/>
        <v>3</v>
      </c>
      <c r="N119" s="145">
        <v>183</v>
      </c>
      <c r="O119" s="145">
        <f t="shared" si="91"/>
        <v>549</v>
      </c>
      <c r="P119" s="146">
        <f t="shared" si="92"/>
        <v>6588</v>
      </c>
      <c r="Q119" s="105"/>
      <c r="R119" s="97">
        <f>+'Rates 2007 01 01'!D115</f>
        <v>21.22</v>
      </c>
      <c r="S119" s="223">
        <f t="shared" si="93"/>
        <v>3</v>
      </c>
      <c r="T119" s="224">
        <f t="shared" si="94"/>
        <v>763.92</v>
      </c>
      <c r="U119" s="225">
        <f t="shared" si="95"/>
        <v>-1.0800000000000409</v>
      </c>
    </row>
    <row r="120" spans="1:21">
      <c r="A120" s="126"/>
      <c r="B120" s="141"/>
      <c r="C120" s="138"/>
      <c r="D120" s="138"/>
      <c r="E120" s="141"/>
      <c r="F120" s="138"/>
      <c r="G120" s="138"/>
      <c r="H120" s="141"/>
      <c r="I120" s="138"/>
      <c r="J120" s="138"/>
      <c r="K120" s="138"/>
      <c r="M120" s="165"/>
      <c r="N120" s="165"/>
      <c r="O120" s="105"/>
      <c r="P120" s="105"/>
      <c r="Q120" s="105"/>
      <c r="R120" s="108"/>
      <c r="S120" s="105"/>
      <c r="T120" s="105"/>
      <c r="U120" s="165"/>
    </row>
    <row r="121" spans="1:21">
      <c r="A121" s="154" t="s">
        <v>33</v>
      </c>
      <c r="B121" s="141"/>
      <c r="C121" s="161">
        <f>SUM(C102:C119)</f>
        <v>110979</v>
      </c>
      <c r="D121" s="161">
        <f>SUM(D102:D119)</f>
        <v>9475738</v>
      </c>
      <c r="E121" s="141"/>
      <c r="F121" s="161">
        <f>SUM(F102:F119)</f>
        <v>110979</v>
      </c>
      <c r="G121" s="161">
        <f>SUM(G102:G119)</f>
        <v>1189582</v>
      </c>
      <c r="H121" s="141"/>
      <c r="I121" s="161">
        <f>SUM(I102:I119)</f>
        <v>110979</v>
      </c>
      <c r="J121" s="161">
        <f>SUM(J102:J119)</f>
        <v>7015447</v>
      </c>
      <c r="K121" s="161">
        <f>SUM(K102:K119)</f>
        <v>17680767</v>
      </c>
      <c r="M121" s="165">
        <f>SUM(M102:M120)</f>
        <v>110979</v>
      </c>
      <c r="N121" s="165"/>
      <c r="O121" s="165">
        <f>SUM(O102:O120)</f>
        <v>5333343</v>
      </c>
      <c r="P121" s="165">
        <f>SUM(P102:P120)</f>
        <v>64000116</v>
      </c>
      <c r="Q121" s="105"/>
      <c r="R121" s="108"/>
      <c r="S121" s="162">
        <f>SUM(S102:S120)</f>
        <v>110979</v>
      </c>
      <c r="T121" s="162">
        <f>SUM(T102:T120)</f>
        <v>7422486.7200000025</v>
      </c>
      <c r="U121" s="152">
        <f>SUM(U102:U120)</f>
        <v>-2053251.2800000003</v>
      </c>
    </row>
    <row r="122" spans="1:21">
      <c r="A122" s="126"/>
      <c r="B122" s="141"/>
      <c r="C122" s="138"/>
      <c r="D122" s="138"/>
      <c r="E122" s="141"/>
      <c r="F122" s="138"/>
      <c r="G122" s="138"/>
      <c r="H122" s="141"/>
      <c r="I122" s="138"/>
      <c r="J122" s="138"/>
      <c r="K122" s="138"/>
      <c r="M122" s="165"/>
      <c r="N122" s="165"/>
      <c r="O122" s="105"/>
      <c r="P122" s="105"/>
      <c r="Q122" s="105"/>
      <c r="R122" s="108"/>
      <c r="S122" s="105"/>
      <c r="T122" s="105"/>
      <c r="U122" s="165"/>
    </row>
    <row r="123" spans="1:21">
      <c r="A123" s="154" t="s">
        <v>592</v>
      </c>
      <c r="B123" s="141"/>
      <c r="C123" s="138"/>
      <c r="D123" s="138"/>
      <c r="E123" s="141"/>
      <c r="F123" s="138"/>
      <c r="G123" s="138"/>
      <c r="H123" s="141"/>
      <c r="I123" s="138"/>
      <c r="J123" s="138"/>
      <c r="K123" s="138"/>
      <c r="M123" s="165"/>
      <c r="N123" s="165"/>
      <c r="O123" s="105"/>
      <c r="P123" s="105"/>
      <c r="Q123" s="105"/>
      <c r="R123" s="108"/>
      <c r="S123" s="105"/>
      <c r="T123" s="105"/>
      <c r="U123" s="165"/>
    </row>
    <row r="124" spans="1:21">
      <c r="A124" s="126"/>
      <c r="B124" s="141"/>
      <c r="C124" s="138"/>
      <c r="D124" s="138"/>
      <c r="E124" s="141"/>
      <c r="F124" s="138"/>
      <c r="G124" s="138"/>
      <c r="H124" s="141"/>
      <c r="I124" s="138"/>
      <c r="J124" s="138"/>
      <c r="K124" s="138"/>
      <c r="M124" s="165"/>
      <c r="N124" s="165"/>
      <c r="O124" s="105"/>
      <c r="P124" s="105"/>
      <c r="Q124" s="105"/>
      <c r="R124" s="108"/>
      <c r="S124" s="105"/>
      <c r="T124" s="105"/>
      <c r="U124" s="165"/>
    </row>
    <row r="125" spans="1:21">
      <c r="A125" s="136" t="s">
        <v>593</v>
      </c>
      <c r="B125" s="141">
        <f>+'2007 Stlgt Rates'!F101</f>
        <v>22.77</v>
      </c>
      <c r="C125" s="138">
        <f>+'Schedule 1'!C65</f>
        <v>1215</v>
      </c>
      <c r="D125" s="138">
        <f>ROUND(B125*C125*12,0)</f>
        <v>331987</v>
      </c>
      <c r="E125" s="141">
        <f>+'2007 Stlgt Rates'!G101</f>
        <v>2.97</v>
      </c>
      <c r="F125" s="138">
        <f>+C125</f>
        <v>1215</v>
      </c>
      <c r="G125" s="138">
        <f>ROUND(E125*F125*12,0)</f>
        <v>43303</v>
      </c>
      <c r="H125" s="141">
        <f>+'2007 Stlgt Rates'!H101</f>
        <v>10.62</v>
      </c>
      <c r="I125" s="138">
        <f>+F125</f>
        <v>1215</v>
      </c>
      <c r="J125" s="138">
        <f>ROUND(H125*I125*12,0)</f>
        <v>154840</v>
      </c>
      <c r="K125" s="138">
        <f>+D125+G125+J125</f>
        <v>530130</v>
      </c>
      <c r="M125" s="165">
        <f>+I125</f>
        <v>1215</v>
      </c>
      <c r="N125" s="165">
        <v>150</v>
      </c>
      <c r="O125" s="165">
        <f>M125*N125</f>
        <v>182250</v>
      </c>
      <c r="P125" s="166">
        <f>O125*12</f>
        <v>2187000</v>
      </c>
      <c r="Q125" s="105"/>
      <c r="R125" s="108">
        <f>+'Rates 2007 01 01'!D121</f>
        <v>17.39</v>
      </c>
      <c r="S125" s="166">
        <f>+M125</f>
        <v>1215</v>
      </c>
      <c r="T125" s="138">
        <f>R125*S125*12</f>
        <v>253546.2</v>
      </c>
      <c r="U125" s="165">
        <f>T125-D125</f>
        <v>-78440.799999999988</v>
      </c>
    </row>
    <row r="126" spans="1:21">
      <c r="A126" s="136" t="s">
        <v>594</v>
      </c>
      <c r="B126" s="141">
        <f>+'2007 Stlgt Rates'!F102</f>
        <v>54.62</v>
      </c>
      <c r="C126" s="138">
        <f>+'Schedule 1'!C66</f>
        <v>833</v>
      </c>
      <c r="D126" s="138">
        <f>ROUND(B126*C126*12,0)</f>
        <v>545982</v>
      </c>
      <c r="E126" s="141">
        <f>+'2007 Stlgt Rates'!G102</f>
        <v>4.38</v>
      </c>
      <c r="F126" s="138">
        <f>+C126</f>
        <v>833</v>
      </c>
      <c r="G126" s="138">
        <f>ROUND(E126*F126*12,0)</f>
        <v>43782</v>
      </c>
      <c r="H126" s="141">
        <f>+'2007 Stlgt Rates'!H102</f>
        <v>15.610000000000003</v>
      </c>
      <c r="I126" s="138">
        <f>+F126</f>
        <v>833</v>
      </c>
      <c r="J126" s="138">
        <f>ROUND(H126*I126*12,0)</f>
        <v>156038</v>
      </c>
      <c r="K126" s="138">
        <f>+D126+G126+J126</f>
        <v>745802</v>
      </c>
      <c r="M126" s="165">
        <f>+I126</f>
        <v>833</v>
      </c>
      <c r="N126" s="165">
        <v>360</v>
      </c>
      <c r="O126" s="165">
        <f>M126*N126</f>
        <v>299880</v>
      </c>
      <c r="P126" s="166">
        <f>O126*12</f>
        <v>3598560</v>
      </c>
      <c r="Q126" s="105"/>
      <c r="R126" s="108">
        <f>+'Rates 2007 01 01'!D122</f>
        <v>41.75</v>
      </c>
      <c r="S126" s="166">
        <f>+M126</f>
        <v>833</v>
      </c>
      <c r="T126" s="138">
        <f>R126*S126*12</f>
        <v>417333</v>
      </c>
      <c r="U126" s="165">
        <f>T126-D126</f>
        <v>-128649</v>
      </c>
    </row>
    <row r="127" spans="1:21">
      <c r="A127" s="156" t="s">
        <v>595</v>
      </c>
      <c r="B127" s="157">
        <f>+'2007 Stlgt Rates'!F103</f>
        <v>11.6</v>
      </c>
      <c r="C127" s="158">
        <f>+'Schedule 1'!C67</f>
        <v>64</v>
      </c>
      <c r="D127" s="138">
        <f>ROUND(B127*C127*12,0)</f>
        <v>8909</v>
      </c>
      <c r="E127" s="157">
        <f>+'2007 Stlgt Rates'!G103</f>
        <v>2.97</v>
      </c>
      <c r="F127" s="158">
        <f>+C127</f>
        <v>64</v>
      </c>
      <c r="G127" s="138">
        <f>ROUND(E127*F127*12,0)</f>
        <v>2281</v>
      </c>
      <c r="H127" s="157">
        <f>+'2007 Stlgt Rates'!H103</f>
        <v>10.629999999999999</v>
      </c>
      <c r="I127" s="158">
        <f>+F127</f>
        <v>64</v>
      </c>
      <c r="J127" s="138">
        <f>ROUND(H127*I127*12,0)</f>
        <v>8164</v>
      </c>
      <c r="K127" s="138">
        <f>+D127+G127+J127</f>
        <v>19354</v>
      </c>
      <c r="M127" s="159">
        <f>+I127</f>
        <v>64</v>
      </c>
      <c r="N127" s="159">
        <v>100</v>
      </c>
      <c r="O127" s="165">
        <f>M127*N127</f>
        <v>6400</v>
      </c>
      <c r="P127" s="166">
        <f>O127*12</f>
        <v>76800</v>
      </c>
      <c r="Q127" s="79"/>
      <c r="R127" s="82">
        <f>+'Rates 2007 01 01'!D120</f>
        <v>11.6</v>
      </c>
      <c r="S127" s="166">
        <f>+M127</f>
        <v>64</v>
      </c>
      <c r="T127" s="138">
        <f>R127*S127*12</f>
        <v>8908.7999999999993</v>
      </c>
      <c r="U127" s="165">
        <f>T127-D127</f>
        <v>-0.2000000000007276</v>
      </c>
    </row>
    <row r="128" spans="1:21">
      <c r="A128" s="126"/>
      <c r="B128" s="141"/>
      <c r="C128" s="138"/>
      <c r="D128" s="138"/>
      <c r="E128" s="141"/>
      <c r="F128" s="138"/>
      <c r="G128" s="138"/>
      <c r="H128" s="141"/>
      <c r="I128" s="138"/>
      <c r="J128" s="138"/>
      <c r="K128" s="138"/>
      <c r="M128" s="165"/>
      <c r="N128" s="165"/>
      <c r="O128" s="105"/>
      <c r="P128" s="105"/>
      <c r="Q128" s="105"/>
      <c r="R128" s="108"/>
      <c r="S128" s="105"/>
      <c r="T128" s="105"/>
      <c r="U128" s="165"/>
    </row>
    <row r="129" spans="1:21">
      <c r="A129" s="142" t="s">
        <v>614</v>
      </c>
      <c r="B129" s="143">
        <f>+'2007 Stlgt Rates'!F166</f>
        <v>7.754723199999999</v>
      </c>
      <c r="C129" s="153">
        <f>+'Schedule 1'!D68</f>
        <v>1</v>
      </c>
      <c r="D129" s="153">
        <f>ROUND(B129*C129*12,0)</f>
        <v>93</v>
      </c>
      <c r="E129" s="143">
        <f>+'2007 Stlgt Rates'!G166</f>
        <v>2.9664152000000001</v>
      </c>
      <c r="F129" s="153">
        <f>+C129</f>
        <v>1</v>
      </c>
      <c r="G129" s="153">
        <f>ROUND(E129*F129*12,0)</f>
        <v>36</v>
      </c>
      <c r="H129" s="143">
        <f>+'2007 Stlgt Rates'!H166</f>
        <v>10.627707999999998</v>
      </c>
      <c r="I129" s="153">
        <f>+F129</f>
        <v>1</v>
      </c>
      <c r="J129" s="153">
        <f>ROUND(H129*I129*12,0)</f>
        <v>128</v>
      </c>
      <c r="K129" s="153">
        <f>+D129+G129+J129</f>
        <v>257</v>
      </c>
      <c r="M129" s="145">
        <f>+I129</f>
        <v>1</v>
      </c>
      <c r="N129" s="145">
        <v>67</v>
      </c>
      <c r="O129" s="145">
        <f>M129*N129</f>
        <v>67</v>
      </c>
      <c r="P129" s="146">
        <f>O129*12</f>
        <v>804</v>
      </c>
      <c r="Q129" s="105"/>
      <c r="R129" s="97">
        <f>+'Rates 2007 01 01'!D124</f>
        <v>7.77</v>
      </c>
      <c r="S129" s="223">
        <f>+M129</f>
        <v>1</v>
      </c>
      <c r="T129" s="224">
        <f>R129*S129*12</f>
        <v>93.24</v>
      </c>
      <c r="U129" s="225">
        <f>T129-D129</f>
        <v>0.23999999999999488</v>
      </c>
    </row>
    <row r="130" spans="1:21">
      <c r="A130" s="126"/>
      <c r="B130" s="141"/>
      <c r="C130" s="138"/>
      <c r="D130" s="138"/>
      <c r="E130" s="141"/>
      <c r="F130" s="138"/>
      <c r="G130" s="138"/>
      <c r="H130" s="141"/>
      <c r="I130" s="138"/>
      <c r="J130" s="138"/>
      <c r="K130" s="138"/>
      <c r="M130" s="165"/>
      <c r="N130" s="165"/>
      <c r="O130" s="105"/>
      <c r="P130" s="105"/>
      <c r="Q130" s="105"/>
      <c r="R130" s="108"/>
      <c r="S130" s="105"/>
      <c r="T130" s="105"/>
      <c r="U130" s="165"/>
    </row>
    <row r="131" spans="1:21">
      <c r="A131" s="142" t="s">
        <v>596</v>
      </c>
      <c r="B131" s="143">
        <f>+'2007 Stlgt Rates'!F168</f>
        <v>11.5970484</v>
      </c>
      <c r="C131" s="153">
        <f>+'Schedule 1'!E67</f>
        <v>66</v>
      </c>
      <c r="D131" s="153">
        <f>ROUND(B131*C131*12,0)</f>
        <v>9185</v>
      </c>
      <c r="E131" s="143">
        <f>+'2007 Stlgt Rates'!G168</f>
        <v>0</v>
      </c>
      <c r="F131" s="153">
        <f>+C131</f>
        <v>66</v>
      </c>
      <c r="G131" s="153">
        <f>ROUND(E131*F131*12,0)</f>
        <v>0</v>
      </c>
      <c r="H131" s="143">
        <f>+'2007 Stlgt Rates'!H168</f>
        <v>0</v>
      </c>
      <c r="I131" s="153">
        <f>+F131</f>
        <v>66</v>
      </c>
      <c r="J131" s="153">
        <f>ROUND(H131*I131*12,0)</f>
        <v>0</v>
      </c>
      <c r="K131" s="153">
        <f>+D131+G131+J131</f>
        <v>9185</v>
      </c>
      <c r="M131" s="145">
        <f>+I131</f>
        <v>66</v>
      </c>
      <c r="N131" s="145">
        <v>100</v>
      </c>
      <c r="O131" s="145">
        <f>M131*N131</f>
        <v>6600</v>
      </c>
      <c r="P131" s="146">
        <f>O131*12</f>
        <v>79200</v>
      </c>
      <c r="Q131" s="105"/>
      <c r="R131" s="97">
        <f>+'Rates 2007 01 01'!D126</f>
        <v>11.6</v>
      </c>
      <c r="S131" s="223">
        <f>+M131</f>
        <v>66</v>
      </c>
      <c r="T131" s="224">
        <f>R131*S131*12</f>
        <v>9187.2000000000007</v>
      </c>
      <c r="U131" s="225">
        <f>T131-D131</f>
        <v>2.2000000000007276</v>
      </c>
    </row>
    <row r="132" spans="1:21">
      <c r="A132" s="142" t="s">
        <v>597</v>
      </c>
      <c r="B132" s="143">
        <f>+'2007 Stlgt Rates'!F169</f>
        <v>17.368983199999995</v>
      </c>
      <c r="C132" s="153">
        <f>+'Schedule 1'!E65</f>
        <v>153</v>
      </c>
      <c r="D132" s="153">
        <f>ROUND(B132*C132*12,0)</f>
        <v>31889</v>
      </c>
      <c r="E132" s="143">
        <f>+'2007 Stlgt Rates'!G169</f>
        <v>0</v>
      </c>
      <c r="F132" s="153">
        <f>+C132</f>
        <v>153</v>
      </c>
      <c r="G132" s="153">
        <f>ROUND(E132*F132*12,0)</f>
        <v>0</v>
      </c>
      <c r="H132" s="143">
        <f>+'2007 Stlgt Rates'!H169</f>
        <v>0</v>
      </c>
      <c r="I132" s="153">
        <f>+F132</f>
        <v>153</v>
      </c>
      <c r="J132" s="153">
        <f>ROUND(H132*I132*12,0)</f>
        <v>0</v>
      </c>
      <c r="K132" s="153">
        <f>+D132+G132+J132</f>
        <v>31889</v>
      </c>
      <c r="M132" s="145">
        <f>+I132</f>
        <v>153</v>
      </c>
      <c r="N132" s="145">
        <v>150</v>
      </c>
      <c r="O132" s="145">
        <f>M132*N132</f>
        <v>22950</v>
      </c>
      <c r="P132" s="146">
        <f>O132*12</f>
        <v>275400</v>
      </c>
      <c r="Q132" s="105"/>
      <c r="R132" s="97">
        <f>+'Rates 2007 01 01'!D127</f>
        <v>17.39</v>
      </c>
      <c r="S132" s="223">
        <f>+M132</f>
        <v>153</v>
      </c>
      <c r="T132" s="224">
        <f>R132*S132*12</f>
        <v>31928.04</v>
      </c>
      <c r="U132" s="225">
        <f>T132-D132</f>
        <v>39.040000000000873</v>
      </c>
    </row>
    <row r="133" spans="1:21">
      <c r="A133" s="142" t="s">
        <v>598</v>
      </c>
      <c r="B133" s="143">
        <f>+'2007 Stlgt Rates'!F170</f>
        <v>41.730960000000003</v>
      </c>
      <c r="C133" s="153">
        <f>+'Schedule 1'!E66</f>
        <v>11</v>
      </c>
      <c r="D133" s="153">
        <f>ROUND(B133*C133*12,0)</f>
        <v>5508</v>
      </c>
      <c r="E133" s="143">
        <f>+'2007 Stlgt Rates'!G170</f>
        <v>0</v>
      </c>
      <c r="F133" s="153">
        <f>+C133</f>
        <v>11</v>
      </c>
      <c r="G133" s="153">
        <f>ROUND(E133*F133*12,0)</f>
        <v>0</v>
      </c>
      <c r="H133" s="143">
        <f>+'2007 Stlgt Rates'!H170</f>
        <v>0</v>
      </c>
      <c r="I133" s="153">
        <f>+F133</f>
        <v>11</v>
      </c>
      <c r="J133" s="153">
        <f>ROUND(H133*I133*12,0)</f>
        <v>0</v>
      </c>
      <c r="K133" s="153">
        <f>+D133+G133+J133</f>
        <v>5508</v>
      </c>
      <c r="M133" s="145">
        <f>+I133</f>
        <v>11</v>
      </c>
      <c r="N133" s="145">
        <v>360</v>
      </c>
      <c r="O133" s="145">
        <f>M133*N133</f>
        <v>3960</v>
      </c>
      <c r="P133" s="146">
        <f>O133*12</f>
        <v>47520</v>
      </c>
      <c r="Q133" s="105"/>
      <c r="R133" s="97">
        <f>+'Rates 2007 01 01'!D128</f>
        <v>41.75</v>
      </c>
      <c r="S133" s="223">
        <f>+M133</f>
        <v>11</v>
      </c>
      <c r="T133" s="224">
        <f>R133*S133*12</f>
        <v>5511</v>
      </c>
      <c r="U133" s="225">
        <f>T133-D133</f>
        <v>3</v>
      </c>
    </row>
    <row r="134" spans="1:21">
      <c r="A134" s="142" t="s">
        <v>599</v>
      </c>
      <c r="B134" s="143">
        <f>+'2007 Stlgt Rates'!F171</f>
        <v>8.7007060000000003</v>
      </c>
      <c r="C134" s="153">
        <f>+'Schedule 1'!E69</f>
        <v>72</v>
      </c>
      <c r="D134" s="153">
        <f>ROUND(B134*C134*12,0)</f>
        <v>7517</v>
      </c>
      <c r="E134" s="143">
        <f>+'2007 Stlgt Rates'!G171</f>
        <v>0</v>
      </c>
      <c r="F134" s="153">
        <f>+C134</f>
        <v>72</v>
      </c>
      <c r="G134" s="153">
        <f>ROUND(E134*F134*12,0)</f>
        <v>0</v>
      </c>
      <c r="H134" s="143">
        <f>+'2007 Stlgt Rates'!H171</f>
        <v>0</v>
      </c>
      <c r="I134" s="153">
        <f>+F134</f>
        <v>72</v>
      </c>
      <c r="J134" s="153">
        <f>ROUND(H134*I134*12,0)</f>
        <v>0</v>
      </c>
      <c r="K134" s="153">
        <f>+D134+G134+J134</f>
        <v>7517</v>
      </c>
      <c r="M134" s="145">
        <f>+I134</f>
        <v>72</v>
      </c>
      <c r="N134" s="145">
        <v>75</v>
      </c>
      <c r="O134" s="145">
        <f>M134*N134</f>
        <v>5400</v>
      </c>
      <c r="P134" s="146">
        <f>O134*12</f>
        <v>64800</v>
      </c>
      <c r="Q134" s="105"/>
      <c r="R134" s="97">
        <f>+'Rates 2007 01 01'!D129</f>
        <v>8.6999999999999993</v>
      </c>
      <c r="S134" s="223">
        <f>+M134</f>
        <v>72</v>
      </c>
      <c r="T134" s="224">
        <f>R134*S134*12</f>
        <v>7516.7999999999993</v>
      </c>
      <c r="U134" s="225">
        <f>T134-D134</f>
        <v>-0.2000000000007276</v>
      </c>
    </row>
    <row r="135" spans="1:21">
      <c r="A135" s="142" t="s">
        <v>689</v>
      </c>
      <c r="B135" s="143">
        <f>+'2007 Stlgt Rates'!F172</f>
        <v>7.754723199999999</v>
      </c>
      <c r="C135" s="144">
        <f>+'Schedule 1'!E70</f>
        <v>3</v>
      </c>
      <c r="D135" s="144">
        <f>ROUND(B135*C135*12,0)</f>
        <v>279</v>
      </c>
      <c r="E135" s="143">
        <f>+'2007 Stlgt Rates'!G172</f>
        <v>0</v>
      </c>
      <c r="F135" s="144">
        <f>+C135</f>
        <v>3</v>
      </c>
      <c r="G135" s="144">
        <f>ROUND(E135*F135*12,0)</f>
        <v>0</v>
      </c>
      <c r="H135" s="143">
        <f>+'2007 Stlgt Rates'!H172</f>
        <v>0</v>
      </c>
      <c r="I135" s="144">
        <f>+F135</f>
        <v>3</v>
      </c>
      <c r="J135" s="144">
        <f>ROUND(H135*I135*12,0)</f>
        <v>0</v>
      </c>
      <c r="K135" s="144">
        <f>+D135+G135+J135</f>
        <v>279</v>
      </c>
      <c r="M135" s="145">
        <f>+I135</f>
        <v>3</v>
      </c>
      <c r="N135" s="145">
        <v>67</v>
      </c>
      <c r="O135" s="145">
        <f>M135*N135</f>
        <v>201</v>
      </c>
      <c r="P135" s="146">
        <f>O135*12</f>
        <v>2412</v>
      </c>
      <c r="Q135" s="105"/>
      <c r="R135" s="97">
        <f>+'Rates 2007 01 01'!D130</f>
        <v>7.77</v>
      </c>
      <c r="S135" s="223">
        <f>+M135</f>
        <v>3</v>
      </c>
      <c r="T135" s="224">
        <f>R135*S135*12</f>
        <v>279.71999999999997</v>
      </c>
      <c r="U135" s="225">
        <f>T135-D135</f>
        <v>0.71999999999997044</v>
      </c>
    </row>
    <row r="136" spans="1:21">
      <c r="A136" s="126"/>
      <c r="B136" s="141"/>
      <c r="C136" s="138"/>
      <c r="D136" s="138"/>
      <c r="E136" s="141"/>
      <c r="F136" s="138"/>
      <c r="G136" s="138"/>
      <c r="H136" s="141"/>
      <c r="I136" s="138"/>
      <c r="J136" s="138"/>
      <c r="K136" s="138"/>
      <c r="M136" s="165"/>
      <c r="N136" s="165"/>
      <c r="O136" s="105"/>
      <c r="P136" s="105"/>
      <c r="Q136" s="105"/>
      <c r="R136" s="108"/>
      <c r="S136" s="105"/>
      <c r="T136" s="105"/>
      <c r="U136" s="105"/>
    </row>
    <row r="137" spans="1:21">
      <c r="A137" s="154" t="s">
        <v>33</v>
      </c>
      <c r="B137" s="141"/>
      <c r="C137" s="161">
        <f>SUM(C125:C136)</f>
        <v>2418</v>
      </c>
      <c r="D137" s="161">
        <f>SUM(D125:D136)</f>
        <v>941349</v>
      </c>
      <c r="E137" s="141"/>
      <c r="F137" s="161">
        <f>SUM(F125:F136)</f>
        <v>2418</v>
      </c>
      <c r="G137" s="161">
        <f>SUM(G125:G136)</f>
        <v>89402</v>
      </c>
      <c r="H137" s="141"/>
      <c r="I137" s="161">
        <f>SUM(I125:I136)</f>
        <v>2418</v>
      </c>
      <c r="J137" s="161">
        <f>SUM(J125:J136)</f>
        <v>319170</v>
      </c>
      <c r="K137" s="161">
        <f>SUM(K125:K136)</f>
        <v>1349921</v>
      </c>
      <c r="M137" s="165">
        <f>SUM(M125:M136)</f>
        <v>2418</v>
      </c>
      <c r="N137" s="165"/>
      <c r="O137" s="165">
        <f>SUM(O125:O136)</f>
        <v>527708</v>
      </c>
      <c r="P137" s="165">
        <f>SUM(P125:P136)</f>
        <v>6332496</v>
      </c>
      <c r="Q137" s="105"/>
      <c r="R137" s="108"/>
      <c r="S137" s="162">
        <f>SUM(S125:S136)</f>
        <v>2418</v>
      </c>
      <c r="T137" s="162">
        <f>SUM(T125:T136)</f>
        <v>734304</v>
      </c>
      <c r="U137" s="152">
        <f>SUM(U125:U136)</f>
        <v>-207045</v>
      </c>
    </row>
    <row r="138" spans="1:21">
      <c r="A138" s="205"/>
      <c r="B138" s="206"/>
      <c r="C138" s="207"/>
      <c r="D138" s="208"/>
      <c r="E138" s="206"/>
      <c r="F138" s="207"/>
      <c r="G138" s="208"/>
      <c r="H138" s="206"/>
      <c r="I138" s="207"/>
      <c r="J138" s="208"/>
      <c r="K138" s="208"/>
      <c r="M138" s="217"/>
      <c r="N138" s="165"/>
      <c r="O138" s="105"/>
      <c r="P138" s="105"/>
      <c r="Q138" s="105"/>
      <c r="R138" s="108"/>
      <c r="S138" s="105"/>
      <c r="T138" s="105"/>
      <c r="U138" s="165"/>
    </row>
    <row r="139" spans="1:21">
      <c r="A139" s="244" t="s">
        <v>600</v>
      </c>
      <c r="B139" s="212"/>
      <c r="C139" s="213">
        <f>+C19+C47+C68+C86+C98+C121+C137</f>
        <v>134287</v>
      </c>
      <c r="D139" s="214">
        <f>+D19+D47+D68+D86+D98+D121+D137</f>
        <v>13031665</v>
      </c>
      <c r="E139" s="212"/>
      <c r="F139" s="213">
        <f>+F19+F47+F68+F86+F98+F121+F137</f>
        <v>134287</v>
      </c>
      <c r="G139" s="214">
        <f>+G19+G47+G68+G86+G98+G121+G137</f>
        <v>1669625</v>
      </c>
      <c r="H139" s="212"/>
      <c r="I139" s="213">
        <f>+I19+I47+I68+I86+I98+I121+I137</f>
        <v>134287</v>
      </c>
      <c r="J139" s="214">
        <f>+J19+J47+J68+J86+J98+J121+J137</f>
        <v>8302773</v>
      </c>
      <c r="K139" s="214">
        <f>+K19+K47+K68+K86+K98+K121+K137</f>
        <v>23004063</v>
      </c>
      <c r="L139" s="216"/>
      <c r="M139" s="219">
        <f>+M19+M47+M68+M86+M98+M121+M137</f>
        <v>134287</v>
      </c>
      <c r="N139" s="217"/>
      <c r="O139" s="219">
        <f>+O19+O47+O68+O86+O98+O121+O137</f>
        <v>7311567</v>
      </c>
      <c r="P139" s="219">
        <f>+P19+P47+P68+P86+P98+P121+P137</f>
        <v>87738804</v>
      </c>
      <c r="Q139" s="105"/>
      <c r="R139" s="105"/>
      <c r="S139" s="221">
        <f>+S19+S47+S68+S86+S98+S121+S137</f>
        <v>134287</v>
      </c>
      <c r="T139" s="222">
        <f>+T19+T47+T68+T86+T98+T121+T137</f>
        <v>10165203.289186802</v>
      </c>
      <c r="U139" s="222">
        <f>+U19+U47+U68+U86+U98+U121+U137</f>
        <v>-2866461.7108132001</v>
      </c>
    </row>
    <row r="140" spans="1:21" ht="15.75" thickBot="1">
      <c r="A140" s="209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M140" s="218"/>
      <c r="N140" s="140"/>
    </row>
    <row r="141" spans="1:21" ht="15.75" thickBot="1">
      <c r="I141" s="164" t="s">
        <v>706</v>
      </c>
      <c r="K141" s="69">
        <f>(K139/'2006 Rev Analysis'!K139)-1</f>
        <v>7.4870526676705129E-2</v>
      </c>
      <c r="M141" s="140"/>
      <c r="N141" s="140"/>
    </row>
  </sheetData>
  <mergeCells count="3">
    <mergeCell ref="M1:U1"/>
    <mergeCell ref="M3:U3"/>
    <mergeCell ref="M4:U4"/>
  </mergeCells>
  <phoneticPr fontId="20" type="noConversion"/>
  <printOptions horizontalCentered="1"/>
  <pageMargins left="0.5" right="0.5" top="0.75" bottom="0.75" header="0.5" footer="0.5"/>
  <pageSetup scale="77" fitToHeight="4" orientation="landscape" verticalDpi="1200" r:id="rId1"/>
  <headerFooter alignWithMargins="0"/>
  <rowBreaks count="4" manualBreakCount="4">
    <brk id="42" min="1" max="10" man="1"/>
    <brk id="69" min="1" max="10" man="1"/>
    <brk id="99" min="1" max="10" man="1"/>
    <brk id="122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OutlineSymbols="0" zoomScale="87" zoomScaleNormal="87" workbookViewId="0">
      <selection activeCell="F27" sqref="F27"/>
    </sheetView>
  </sheetViews>
  <sheetFormatPr defaultColWidth="9.6640625" defaultRowHeight="15"/>
  <cols>
    <col min="1" max="1" width="9.6640625" style="379" customWidth="1"/>
    <col min="2" max="2" width="35.109375" style="379" customWidth="1"/>
    <col min="3" max="3" width="13.109375" style="379" customWidth="1"/>
    <col min="4" max="4" width="19.5546875" style="379" customWidth="1"/>
    <col min="5" max="5" width="13.21875" style="379" customWidth="1"/>
    <col min="6" max="6" width="11.44140625" style="379" customWidth="1"/>
    <col min="7" max="7" width="11.21875" style="379" customWidth="1"/>
    <col min="8" max="8" width="12.21875" style="379" customWidth="1"/>
    <col min="9" max="16384" width="9.6640625" style="379"/>
  </cols>
  <sheetData>
    <row r="1" spans="1:8" ht="15.75">
      <c r="H1" s="380" t="s">
        <v>797</v>
      </c>
    </row>
    <row r="2" spans="1:8" ht="18">
      <c r="A2" s="381" t="str">
        <f>+'Schedule 1'!A2</f>
        <v>STREET / CROSSWALK LIGHTING STUDY</v>
      </c>
      <c r="B2" s="382"/>
      <c r="C2" s="382"/>
      <c r="D2" s="382"/>
      <c r="E2" s="382"/>
      <c r="F2" s="382"/>
      <c r="G2" s="382"/>
      <c r="H2" s="382"/>
    </row>
    <row r="3" spans="1:8" ht="15.75">
      <c r="A3" s="383" t="s">
        <v>672</v>
      </c>
      <c r="B3" s="382"/>
      <c r="C3" s="382"/>
      <c r="D3" s="382"/>
      <c r="E3" s="382"/>
      <c r="F3" s="382"/>
      <c r="G3" s="382"/>
      <c r="H3" s="382"/>
    </row>
    <row r="4" spans="1:8" ht="15.75">
      <c r="A4" s="383"/>
      <c r="B4" s="382"/>
      <c r="C4" s="382"/>
      <c r="D4" s="382"/>
      <c r="E4" s="382"/>
      <c r="F4" s="382"/>
      <c r="G4" s="382"/>
      <c r="H4" s="382"/>
    </row>
    <row r="6" spans="1:8" ht="15.75">
      <c r="A6" s="384" t="s">
        <v>664</v>
      </c>
      <c r="B6" s="384" t="s">
        <v>665</v>
      </c>
      <c r="C6" s="384" t="s">
        <v>666</v>
      </c>
      <c r="D6" s="384" t="s">
        <v>667</v>
      </c>
      <c r="E6" s="384" t="s">
        <v>668</v>
      </c>
      <c r="F6" s="384" t="s">
        <v>669</v>
      </c>
      <c r="G6" s="384" t="s">
        <v>670</v>
      </c>
      <c r="H6" s="384" t="s">
        <v>671</v>
      </c>
    </row>
    <row r="7" spans="1:8" ht="15.75">
      <c r="A7" s="385"/>
      <c r="B7" s="385"/>
      <c r="C7" s="385"/>
      <c r="E7" s="384" t="s">
        <v>674</v>
      </c>
      <c r="F7" s="385"/>
      <c r="G7" s="385"/>
      <c r="H7" s="385"/>
    </row>
    <row r="8" spans="1:8" ht="15.75">
      <c r="A8" s="386"/>
      <c r="B8" s="386"/>
      <c r="C8" s="387" t="s">
        <v>48</v>
      </c>
      <c r="D8" s="388" t="s">
        <v>87</v>
      </c>
      <c r="E8" s="389" t="s">
        <v>675</v>
      </c>
      <c r="F8" s="387" t="s">
        <v>812</v>
      </c>
      <c r="G8" s="387" t="s">
        <v>51</v>
      </c>
      <c r="H8" s="387" t="s">
        <v>51</v>
      </c>
    </row>
    <row r="9" spans="1:8" ht="15.75">
      <c r="A9" s="390" t="s">
        <v>34</v>
      </c>
      <c r="B9" s="390" t="s">
        <v>43</v>
      </c>
      <c r="C9" s="390" t="s">
        <v>49</v>
      </c>
      <c r="D9" s="390" t="s">
        <v>673</v>
      </c>
      <c r="E9" s="390" t="s">
        <v>65</v>
      </c>
      <c r="F9" s="390" t="s">
        <v>50</v>
      </c>
      <c r="G9" s="390" t="s">
        <v>52</v>
      </c>
      <c r="H9" s="390" t="s">
        <v>53</v>
      </c>
    </row>
    <row r="10" spans="1:8" ht="15.75">
      <c r="A10" s="390"/>
      <c r="B10" s="390"/>
      <c r="C10" s="390"/>
      <c r="D10" s="390"/>
      <c r="E10" s="390"/>
      <c r="F10" s="390"/>
      <c r="G10" s="390"/>
      <c r="H10" s="390"/>
    </row>
    <row r="12" spans="1:8">
      <c r="A12" s="391" t="s">
        <v>35</v>
      </c>
      <c r="B12" s="392" t="s">
        <v>138</v>
      </c>
      <c r="C12" s="393">
        <f>+'Schedule 8'!D16</f>
        <v>6</v>
      </c>
      <c r="D12" s="394">
        <f t="shared" ref="D12:D20" si="0">C$15/C12</f>
        <v>1</v>
      </c>
      <c r="E12" s="395">
        <f>'Schedule 1'!C21+'Schedule 1'!D21-'Schedule 1'!C14-'Schedule 1'!D14</f>
        <v>6230</v>
      </c>
      <c r="F12" s="395">
        <f t="shared" ref="F12:F20" si="1">D12*E12</f>
        <v>6230</v>
      </c>
      <c r="G12" s="396">
        <f t="shared" ref="G12:G20" si="2">D$27*D12</f>
        <v>37.518717382909195</v>
      </c>
      <c r="H12" s="396">
        <f t="shared" ref="H12:H20" si="3">ROUND(+G12/12,2)</f>
        <v>3.13</v>
      </c>
    </row>
    <row r="13" spans="1:8">
      <c r="A13" s="391" t="s">
        <v>36</v>
      </c>
      <c r="B13" s="392" t="s">
        <v>139</v>
      </c>
      <c r="C13" s="393">
        <f>+'Schedule 8'!D17</f>
        <v>4.5</v>
      </c>
      <c r="D13" s="394">
        <f t="shared" si="0"/>
        <v>1.3333333333333333</v>
      </c>
      <c r="E13" s="395">
        <f>'Schedule 1'!C14+'Schedule 1'!D14</f>
        <v>11971</v>
      </c>
      <c r="F13" s="395">
        <f t="shared" si="1"/>
        <v>15961.333333333332</v>
      </c>
      <c r="G13" s="396">
        <f t="shared" si="2"/>
        <v>50.024956510545593</v>
      </c>
      <c r="H13" s="396">
        <f t="shared" si="3"/>
        <v>4.17</v>
      </c>
    </row>
    <row r="14" spans="1:8">
      <c r="A14" s="391" t="s">
        <v>37</v>
      </c>
      <c r="B14" s="392" t="s">
        <v>44</v>
      </c>
      <c r="C14" s="393">
        <f>+'Schedule 8'!D15</f>
        <v>3</v>
      </c>
      <c r="D14" s="394">
        <f t="shared" si="0"/>
        <v>2</v>
      </c>
      <c r="E14" s="395">
        <f>'Schedule 1'!C34+'Schedule 1'!D34</f>
        <v>1188</v>
      </c>
      <c r="F14" s="395">
        <f t="shared" si="1"/>
        <v>2376</v>
      </c>
      <c r="G14" s="396">
        <f t="shared" si="2"/>
        <v>75.037434765818389</v>
      </c>
      <c r="H14" s="396">
        <f t="shared" si="3"/>
        <v>6.25</v>
      </c>
    </row>
    <row r="15" spans="1:8">
      <c r="A15" s="391" t="s">
        <v>38</v>
      </c>
      <c r="B15" s="392" t="s">
        <v>808</v>
      </c>
      <c r="C15" s="393">
        <f>+'Schedule 8'!D23</f>
        <v>6</v>
      </c>
      <c r="D15" s="394">
        <f t="shared" si="0"/>
        <v>1</v>
      </c>
      <c r="E15" s="395">
        <f>'Schedule 1'!C58+'Schedule 1'!D58</f>
        <v>99107</v>
      </c>
      <c r="F15" s="395">
        <f t="shared" si="1"/>
        <v>99107</v>
      </c>
      <c r="G15" s="396">
        <f t="shared" si="2"/>
        <v>37.518717382909195</v>
      </c>
      <c r="H15" s="396">
        <f t="shared" si="3"/>
        <v>3.13</v>
      </c>
    </row>
    <row r="16" spans="1:8">
      <c r="A16" s="391" t="s">
        <v>39</v>
      </c>
      <c r="B16" s="392" t="s">
        <v>45</v>
      </c>
      <c r="C16" s="393">
        <f>+'Schedule 8'!D14</f>
        <v>0.625</v>
      </c>
      <c r="D16" s="394">
        <f t="shared" si="0"/>
        <v>9.6</v>
      </c>
      <c r="E16" s="395">
        <f>'Schedule 1'!C11+'Schedule 1'!D11</f>
        <v>34</v>
      </c>
      <c r="F16" s="395">
        <f t="shared" si="1"/>
        <v>326.39999999999998</v>
      </c>
      <c r="G16" s="396">
        <f t="shared" si="2"/>
        <v>360.17968687592827</v>
      </c>
      <c r="H16" s="396">
        <f t="shared" si="3"/>
        <v>30.01</v>
      </c>
    </row>
    <row r="17" spans="1:8">
      <c r="A17" s="391" t="s">
        <v>40</v>
      </c>
      <c r="B17" s="392" t="s">
        <v>141</v>
      </c>
      <c r="C17" s="393">
        <v>2.5</v>
      </c>
      <c r="D17" s="394">
        <f t="shared" si="0"/>
        <v>2.4</v>
      </c>
      <c r="E17" s="395">
        <f>+'Schedule 1'!C67+'Schedule 1'!C68+'Schedule 1'!C69+'Schedule 1'!D67+'Schedule 1'!D68+'Schedule 1'!D69</f>
        <v>65</v>
      </c>
      <c r="F17" s="395">
        <f t="shared" si="1"/>
        <v>156</v>
      </c>
      <c r="G17" s="396">
        <f t="shared" si="2"/>
        <v>90.044921718982067</v>
      </c>
      <c r="H17" s="396">
        <f t="shared" si="3"/>
        <v>7.5</v>
      </c>
    </row>
    <row r="18" spans="1:8">
      <c r="A18" s="391" t="s">
        <v>41</v>
      </c>
      <c r="B18" s="392" t="s">
        <v>119</v>
      </c>
      <c r="C18" s="393">
        <f>+'Schedule 8'!D20</f>
        <v>3.75</v>
      </c>
      <c r="D18" s="394">
        <f t="shared" si="0"/>
        <v>1.6</v>
      </c>
      <c r="E18" s="395">
        <f>+'Schedule 1'!C65+'Schedule 1'!D65</f>
        <v>1215</v>
      </c>
      <c r="F18" s="395">
        <f t="shared" si="1"/>
        <v>1944</v>
      </c>
      <c r="G18" s="396">
        <f t="shared" si="2"/>
        <v>60.029947812654711</v>
      </c>
      <c r="H18" s="396">
        <f t="shared" si="3"/>
        <v>5</v>
      </c>
    </row>
    <row r="19" spans="1:8">
      <c r="A19" s="391" t="s">
        <v>42</v>
      </c>
      <c r="B19" s="392" t="s">
        <v>46</v>
      </c>
      <c r="C19" s="393">
        <f>+'Schedule 8'!D21</f>
        <v>2.5</v>
      </c>
      <c r="D19" s="394">
        <f t="shared" si="0"/>
        <v>2.4</v>
      </c>
      <c r="E19" s="395">
        <f>+'Schedule 1'!C66+'Schedule 1'!D66</f>
        <v>833</v>
      </c>
      <c r="F19" s="395">
        <f t="shared" si="1"/>
        <v>1999.1999999999998</v>
      </c>
      <c r="G19" s="396">
        <f t="shared" si="2"/>
        <v>90.044921718982067</v>
      </c>
      <c r="H19" s="396">
        <f t="shared" si="3"/>
        <v>7.5</v>
      </c>
    </row>
    <row r="20" spans="1:8">
      <c r="A20" s="391" t="s">
        <v>120</v>
      </c>
      <c r="B20" s="392" t="s">
        <v>47</v>
      </c>
      <c r="C20" s="393">
        <f>+'Schedule 8'!D24</f>
        <v>2</v>
      </c>
      <c r="D20" s="394">
        <f t="shared" si="0"/>
        <v>3</v>
      </c>
      <c r="E20" s="397">
        <f>+'Schedule 1'!C63+'Schedule 1'!D63</f>
        <v>976</v>
      </c>
      <c r="F20" s="397">
        <f t="shared" si="1"/>
        <v>2928</v>
      </c>
      <c r="G20" s="396">
        <f t="shared" si="2"/>
        <v>112.55615214872759</v>
      </c>
      <c r="H20" s="396">
        <f t="shared" si="3"/>
        <v>9.3800000000000008</v>
      </c>
    </row>
    <row r="21" spans="1:8">
      <c r="C21" s="398"/>
      <c r="E21" s="395">
        <f>SUM(E12:E20)</f>
        <v>121619</v>
      </c>
      <c r="F21" s="395">
        <f>SUM(F12:F20)</f>
        <v>131027.93333333332</v>
      </c>
    </row>
    <row r="23" spans="1:8" ht="16.5" thickBot="1">
      <c r="A23" s="386" t="s">
        <v>678</v>
      </c>
    </row>
    <row r="24" spans="1:8" ht="16.5" thickBot="1">
      <c r="A24" s="379" t="s">
        <v>806</v>
      </c>
      <c r="D24" s="399">
        <v>4916000</v>
      </c>
    </row>
    <row r="26" spans="1:8" ht="16.5" thickBot="1">
      <c r="A26" s="386" t="s">
        <v>679</v>
      </c>
    </row>
    <row r="27" spans="1:8" ht="16.5" thickBot="1">
      <c r="A27" s="400" t="s">
        <v>807</v>
      </c>
      <c r="D27" s="401">
        <f>D24/F21</f>
        <v>37.518717382909195</v>
      </c>
    </row>
    <row r="29" spans="1:8" ht="15.75">
      <c r="A29" s="402" t="s">
        <v>676</v>
      </c>
      <c r="B29" s="379" t="s">
        <v>677</v>
      </c>
    </row>
    <row r="30" spans="1:8">
      <c r="B30" s="379" t="s">
        <v>680</v>
      </c>
    </row>
  </sheetData>
  <phoneticPr fontId="0" type="noConversion"/>
  <printOptions horizontalCentered="1"/>
  <pageMargins left="0.5" right="0.5" top="0.5" bottom="0.65277777777777779" header="0" footer="0"/>
  <pageSetup scale="85" orientation="landscape" r:id="rId1"/>
  <headerFooter alignWithMargins="0">
    <oddFooter>&amp;LDate 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OutlineSymbols="0" topLeftCell="A25" zoomScale="87" zoomScaleNormal="87" workbookViewId="0">
      <selection activeCell="A25" sqref="A1:XFD1048576"/>
    </sheetView>
  </sheetViews>
  <sheetFormatPr defaultColWidth="9.6640625" defaultRowHeight="15"/>
  <cols>
    <col min="1" max="1" width="33.33203125" style="379" customWidth="1"/>
    <col min="2" max="2" width="12" style="379" customWidth="1"/>
    <col min="3" max="3" width="11.33203125" style="379" customWidth="1"/>
    <col min="4" max="4" width="9.6640625" style="379" customWidth="1"/>
    <col min="5" max="5" width="10.88671875" style="379" customWidth="1"/>
    <col min="6" max="6" width="11.6640625" style="379" customWidth="1"/>
    <col min="7" max="16384" width="9.6640625" style="379"/>
  </cols>
  <sheetData>
    <row r="1" spans="1:9" ht="15.75">
      <c r="F1" s="380" t="s">
        <v>798</v>
      </c>
    </row>
    <row r="2" spans="1:9" ht="18">
      <c r="A2" s="381" t="str">
        <f>+'Schedule 2'!A2</f>
        <v>STREET / CROSSWALK LIGHTING STUDY</v>
      </c>
      <c r="B2" s="382"/>
      <c r="C2" s="382"/>
      <c r="D2" s="382"/>
      <c r="E2" s="382"/>
      <c r="F2" s="382"/>
      <c r="G2" s="382" t="s">
        <v>69</v>
      </c>
      <c r="H2" s="382"/>
      <c r="I2" s="382"/>
    </row>
    <row r="3" spans="1:9" ht="15.75">
      <c r="A3" s="383"/>
      <c r="B3" s="382"/>
      <c r="C3" s="382"/>
      <c r="D3" s="382"/>
      <c r="E3" s="382"/>
      <c r="F3" s="382"/>
      <c r="G3" s="382" t="s">
        <v>69</v>
      </c>
      <c r="H3" s="382"/>
      <c r="I3" s="382"/>
    </row>
    <row r="5" spans="1:9" ht="15.75">
      <c r="A5" s="386" t="s">
        <v>54</v>
      </c>
    </row>
    <row r="7" spans="1:9">
      <c r="A7" s="392" t="s">
        <v>681</v>
      </c>
    </row>
    <row r="8" spans="1:9" ht="15.75">
      <c r="A8" s="392" t="s">
        <v>702</v>
      </c>
      <c r="F8" s="403">
        <v>44601719</v>
      </c>
    </row>
    <row r="9" spans="1:9" ht="15.75">
      <c r="A9" s="392"/>
      <c r="F9" s="403"/>
    </row>
    <row r="10" spans="1:9" ht="15.75">
      <c r="B10" s="387" t="s">
        <v>91</v>
      </c>
      <c r="C10" s="387" t="s">
        <v>91</v>
      </c>
      <c r="D10" s="387" t="s">
        <v>64</v>
      </c>
      <c r="E10" s="387" t="s">
        <v>50</v>
      </c>
    </row>
    <row r="11" spans="1:9" ht="15.75">
      <c r="A11" s="387" t="s">
        <v>9</v>
      </c>
      <c r="B11" s="404" t="s">
        <v>92</v>
      </c>
      <c r="C11" s="404" t="s">
        <v>140</v>
      </c>
      <c r="D11" s="387" t="s">
        <v>65</v>
      </c>
      <c r="E11" s="387" t="s">
        <v>67</v>
      </c>
    </row>
    <row r="13" spans="1:9">
      <c r="A13" s="392" t="s">
        <v>10</v>
      </c>
      <c r="B13" s="396">
        <v>51.36</v>
      </c>
      <c r="C13" s="396">
        <f>+B13*B$48</f>
        <v>64.2</v>
      </c>
      <c r="D13" s="395">
        <f>'Schedule 1'!C9</f>
        <v>31</v>
      </c>
      <c r="E13" s="405">
        <f>C13*D13</f>
        <v>1990.2</v>
      </c>
    </row>
    <row r="14" spans="1:9">
      <c r="A14" s="392" t="s">
        <v>11</v>
      </c>
      <c r="B14" s="396">
        <v>63.62</v>
      </c>
      <c r="C14" s="396">
        <f>+B14*B$48</f>
        <v>79.524999999999991</v>
      </c>
      <c r="D14" s="395">
        <f>'Schedule 1'!C10</f>
        <v>3</v>
      </c>
      <c r="E14" s="395">
        <f>C14*D14</f>
        <v>238.57499999999999</v>
      </c>
    </row>
    <row r="15" spans="1:9">
      <c r="A15" s="392" t="s">
        <v>12</v>
      </c>
      <c r="B15" s="396">
        <v>76.55</v>
      </c>
      <c r="C15" s="396">
        <f>+'Schedule 6'!B11</f>
        <v>206.8228</v>
      </c>
      <c r="D15" s="395">
        <f>'Schedule 1'!C13</f>
        <v>269</v>
      </c>
      <c r="E15" s="395">
        <f t="shared" ref="E15:E40" si="0">C15*D15</f>
        <v>55635.333200000001</v>
      </c>
    </row>
    <row r="16" spans="1:9">
      <c r="A16" s="392" t="s">
        <v>13</v>
      </c>
      <c r="B16" s="396">
        <v>77.16</v>
      </c>
      <c r="C16" s="396">
        <f>+'Schedule 6'!B12</f>
        <v>182.04580000000001</v>
      </c>
      <c r="D16" s="395">
        <f>'Schedule 1'!C14</f>
        <v>11962</v>
      </c>
      <c r="E16" s="395">
        <f t="shared" si="0"/>
        <v>2177631.8596000001</v>
      </c>
    </row>
    <row r="17" spans="1:5">
      <c r="A17" s="392" t="s">
        <v>14</v>
      </c>
      <c r="B17" s="396">
        <v>85.3</v>
      </c>
      <c r="C17" s="396">
        <f>+'Schedule 6'!B13</f>
        <v>178.54580000000001</v>
      </c>
      <c r="D17" s="395">
        <f>'Schedule 1'!C15</f>
        <v>3150</v>
      </c>
      <c r="E17" s="395">
        <f t="shared" si="0"/>
        <v>562419.27</v>
      </c>
    </row>
    <row r="18" spans="1:5">
      <c r="A18" s="392" t="s">
        <v>15</v>
      </c>
      <c r="B18" s="396">
        <v>87.24</v>
      </c>
      <c r="C18" s="396">
        <f>+'Schedule 6'!B14</f>
        <v>276.89109999999999</v>
      </c>
      <c r="D18" s="395">
        <f>'Schedule 1'!C16</f>
        <v>1149</v>
      </c>
      <c r="E18" s="395">
        <f t="shared" si="0"/>
        <v>318147.87390000001</v>
      </c>
    </row>
    <row r="19" spans="1:5">
      <c r="A19" s="392" t="s">
        <v>16</v>
      </c>
      <c r="B19" s="396">
        <v>107.82</v>
      </c>
      <c r="C19" s="396">
        <f>+'Schedule 6'!B15</f>
        <v>286.96109999999999</v>
      </c>
      <c r="D19" s="395">
        <f>'Schedule 1'!C17</f>
        <v>1484</v>
      </c>
      <c r="E19" s="395">
        <f t="shared" si="0"/>
        <v>425850.27239999996</v>
      </c>
    </row>
    <row r="20" spans="1:5">
      <c r="A20" s="392" t="s">
        <v>17</v>
      </c>
      <c r="B20" s="396">
        <v>485.12</v>
      </c>
      <c r="C20" s="396">
        <f>+'Schedule 6'!B16</f>
        <v>435.2971</v>
      </c>
      <c r="D20" s="395">
        <f>'Schedule 1'!C18</f>
        <v>12</v>
      </c>
      <c r="E20" s="395">
        <f t="shared" si="0"/>
        <v>5223.5652</v>
      </c>
    </row>
    <row r="21" spans="1:5">
      <c r="A21" s="392" t="s">
        <v>18</v>
      </c>
      <c r="B21" s="396">
        <v>492.29</v>
      </c>
      <c r="C21" s="396">
        <f>+'Schedule 6'!B17</f>
        <v>559.52109999999993</v>
      </c>
      <c r="D21" s="395">
        <f>'Schedule 1'!C19</f>
        <v>76</v>
      </c>
      <c r="E21" s="395">
        <f t="shared" si="0"/>
        <v>42523.603599999995</v>
      </c>
    </row>
    <row r="22" spans="1:5">
      <c r="A22" s="392" t="s">
        <v>19</v>
      </c>
      <c r="B22" s="396">
        <v>87.24</v>
      </c>
      <c r="C22" s="396">
        <f>+'Schedule 6'!B18</f>
        <v>276.89109999999999</v>
      </c>
      <c r="D22" s="395">
        <f>'Schedule 1'!C20</f>
        <v>5</v>
      </c>
      <c r="E22" s="395">
        <f t="shared" si="0"/>
        <v>1384.4555</v>
      </c>
    </row>
    <row r="23" spans="1:5">
      <c r="A23" s="392" t="s">
        <v>20</v>
      </c>
      <c r="B23" s="396">
        <v>106.44</v>
      </c>
      <c r="C23" s="396">
        <f t="shared" ref="C23:C29" si="1">+B23*B$50</f>
        <v>133.05000000000001</v>
      </c>
      <c r="D23" s="395">
        <f>'Schedule 1'!C23</f>
        <v>913</v>
      </c>
      <c r="E23" s="395">
        <f t="shared" si="0"/>
        <v>121474.65000000001</v>
      </c>
    </row>
    <row r="24" spans="1:5">
      <c r="A24" s="392" t="s">
        <v>21</v>
      </c>
      <c r="B24" s="396">
        <v>131.91</v>
      </c>
      <c r="C24" s="396">
        <f t="shared" si="1"/>
        <v>164.88749999999999</v>
      </c>
      <c r="D24" s="395">
        <f>'Schedule 1'!C24</f>
        <v>153</v>
      </c>
      <c r="E24" s="395">
        <f t="shared" si="0"/>
        <v>25227.787499999999</v>
      </c>
    </row>
    <row r="25" spans="1:5">
      <c r="A25" s="392" t="s">
        <v>22</v>
      </c>
      <c r="B25" s="396">
        <v>178.72</v>
      </c>
      <c r="C25" s="396">
        <f t="shared" si="1"/>
        <v>223.4</v>
      </c>
      <c r="D25" s="395">
        <f>'Schedule 1'!C25</f>
        <v>68</v>
      </c>
      <c r="E25" s="395">
        <f t="shared" si="0"/>
        <v>15191.2</v>
      </c>
    </row>
    <row r="26" spans="1:5">
      <c r="A26" s="392" t="s">
        <v>23</v>
      </c>
      <c r="B26" s="396">
        <v>293.72000000000003</v>
      </c>
      <c r="C26" s="396">
        <f t="shared" si="1"/>
        <v>367.15000000000003</v>
      </c>
      <c r="D26" s="395">
        <f>'Schedule 1'!C26</f>
        <v>15</v>
      </c>
      <c r="E26" s="395">
        <f t="shared" si="0"/>
        <v>5507.2500000000009</v>
      </c>
    </row>
    <row r="27" spans="1:5">
      <c r="A27" s="392" t="s">
        <v>24</v>
      </c>
      <c r="B27" s="396">
        <v>160</v>
      </c>
      <c r="C27" s="396">
        <f t="shared" si="1"/>
        <v>200</v>
      </c>
      <c r="D27" s="395">
        <f>'Schedule 1'!C27</f>
        <v>5</v>
      </c>
      <c r="E27" s="395">
        <f t="shared" si="0"/>
        <v>1000</v>
      </c>
    </row>
    <row r="28" spans="1:5">
      <c r="A28" s="392" t="s">
        <v>25</v>
      </c>
      <c r="B28" s="396">
        <v>121.22</v>
      </c>
      <c r="C28" s="396">
        <f t="shared" si="1"/>
        <v>151.52500000000001</v>
      </c>
      <c r="D28" s="395">
        <f>'Schedule 1'!C28</f>
        <v>2</v>
      </c>
      <c r="E28" s="395">
        <f t="shared" si="0"/>
        <v>303.05</v>
      </c>
    </row>
    <row r="29" spans="1:5">
      <c r="A29" s="392" t="s">
        <v>26</v>
      </c>
      <c r="B29" s="396">
        <v>188.91</v>
      </c>
      <c r="C29" s="396">
        <f t="shared" si="1"/>
        <v>236.13749999999999</v>
      </c>
      <c r="D29" s="395">
        <f>'Schedule 1'!C29</f>
        <v>2</v>
      </c>
      <c r="E29" s="395">
        <f t="shared" si="0"/>
        <v>472.27499999999998</v>
      </c>
    </row>
    <row r="30" spans="1:5">
      <c r="A30" s="392" t="s">
        <v>57</v>
      </c>
      <c r="B30" s="406" t="s">
        <v>117</v>
      </c>
      <c r="C30" s="396">
        <f>+'Schedule 6'!B26</f>
        <v>177.00389999999999</v>
      </c>
      <c r="D30" s="395">
        <f>+'Schedule 1'!C53</f>
        <v>38321</v>
      </c>
      <c r="E30" s="395">
        <f t="shared" si="0"/>
        <v>6782966.4518999998</v>
      </c>
    </row>
    <row r="31" spans="1:5">
      <c r="A31" s="392" t="s">
        <v>58</v>
      </c>
      <c r="B31" s="406" t="s">
        <v>117</v>
      </c>
      <c r="C31" s="396">
        <f>+'Schedule 6'!B27</f>
        <v>169.16579999999999</v>
      </c>
      <c r="D31" s="395">
        <f>+'Schedule 1'!C54</f>
        <v>45889</v>
      </c>
      <c r="E31" s="395">
        <f t="shared" si="0"/>
        <v>7762849.3961999994</v>
      </c>
    </row>
    <row r="32" spans="1:5">
      <c r="A32" s="392" t="s">
        <v>59</v>
      </c>
      <c r="B32" s="406" t="s">
        <v>117</v>
      </c>
      <c r="C32" s="396">
        <f>+'Schedule 6'!B28</f>
        <v>172.20580000000001</v>
      </c>
      <c r="D32" s="395">
        <f>+'Schedule 1'!C55</f>
        <v>5241</v>
      </c>
      <c r="E32" s="395">
        <f t="shared" si="0"/>
        <v>902530.59780000011</v>
      </c>
    </row>
    <row r="33" spans="1:6">
      <c r="A33" s="392" t="s">
        <v>27</v>
      </c>
      <c r="B33" s="396">
        <v>156.49</v>
      </c>
      <c r="C33" s="396">
        <f>+'Schedule 6'!B29</f>
        <v>223.05109999999999</v>
      </c>
      <c r="D33" s="395">
        <f>'Schedule 1'!C51</f>
        <v>5256</v>
      </c>
      <c r="E33" s="395">
        <f t="shared" si="0"/>
        <v>1172356.5815999999</v>
      </c>
    </row>
    <row r="34" spans="1:6">
      <c r="A34" s="392" t="s">
        <v>28</v>
      </c>
      <c r="B34" s="396">
        <v>173.73</v>
      </c>
      <c r="C34" s="396">
        <f>+'Schedule 6'!B30</f>
        <v>238.12110000000001</v>
      </c>
      <c r="D34" s="395">
        <f>'Schedule 1'!C52</f>
        <v>3667</v>
      </c>
      <c r="E34" s="395">
        <f t="shared" si="0"/>
        <v>873190.07370000007</v>
      </c>
    </row>
    <row r="35" spans="1:6">
      <c r="A35" s="392" t="s">
        <v>89</v>
      </c>
      <c r="B35" s="406" t="s">
        <v>117</v>
      </c>
      <c r="C35" s="396">
        <f>+'Schedule 6'!B31</f>
        <v>575.80579999999998</v>
      </c>
      <c r="D35" s="395">
        <f>'Schedule 1'!C62</f>
        <v>2</v>
      </c>
      <c r="E35" s="395">
        <f t="shared" si="0"/>
        <v>1151.6116</v>
      </c>
    </row>
    <row r="36" spans="1:6">
      <c r="A36" s="392" t="s">
        <v>29</v>
      </c>
      <c r="B36" s="396">
        <v>371.69</v>
      </c>
      <c r="C36" s="396">
        <f>+'Schedule 6'!B32</f>
        <v>575.80579999999998</v>
      </c>
      <c r="D36" s="395">
        <f>'Schedule 1'!C60</f>
        <v>61</v>
      </c>
      <c r="E36" s="395">
        <f t="shared" si="0"/>
        <v>35124.1538</v>
      </c>
    </row>
    <row r="37" spans="1:6">
      <c r="A37" s="392" t="s">
        <v>30</v>
      </c>
      <c r="B37" s="396">
        <v>226.1</v>
      </c>
      <c r="C37" s="396">
        <f>+'Schedule 6'!B33</f>
        <v>685.26580000000001</v>
      </c>
      <c r="D37" s="395">
        <f>'Schedule 1'!C61</f>
        <v>870</v>
      </c>
      <c r="E37" s="395">
        <f t="shared" si="0"/>
        <v>596181.24600000004</v>
      </c>
    </row>
    <row r="38" spans="1:6">
      <c r="A38" s="392" t="s">
        <v>90</v>
      </c>
      <c r="B38" s="406" t="s">
        <v>117</v>
      </c>
      <c r="C38" s="396">
        <f>+'Schedule 6'!B34</f>
        <v>419.69110000000001</v>
      </c>
      <c r="D38" s="395">
        <f>'Schedule 1'!C67+'Schedule 1'!C68</f>
        <v>64</v>
      </c>
      <c r="E38" s="395">
        <f t="shared" si="0"/>
        <v>26860.2304</v>
      </c>
    </row>
    <row r="39" spans="1:6">
      <c r="A39" s="392" t="s">
        <v>31</v>
      </c>
      <c r="B39" s="396">
        <v>358.84</v>
      </c>
      <c r="C39" s="396">
        <f>+'Schedule 6'!B35</f>
        <v>279.83109999999999</v>
      </c>
      <c r="D39" s="395">
        <f>'Schedule 1'!C65</f>
        <v>1215</v>
      </c>
      <c r="E39" s="395">
        <f t="shared" si="0"/>
        <v>339994.78649999999</v>
      </c>
    </row>
    <row r="40" spans="1:6">
      <c r="A40" s="392" t="s">
        <v>32</v>
      </c>
      <c r="B40" s="396">
        <v>560.49</v>
      </c>
      <c r="C40" s="396">
        <f>+'Schedule 6'!B36</f>
        <v>527.40109999999993</v>
      </c>
      <c r="D40" s="407">
        <f>'Schedule 1'!C66</f>
        <v>833</v>
      </c>
      <c r="E40" s="395">
        <f t="shared" si="0"/>
        <v>439325.11629999994</v>
      </c>
      <c r="F40" s="408">
        <f>SUM(E13:E40)</f>
        <v>22692751.466699999</v>
      </c>
    </row>
    <row r="41" spans="1:6">
      <c r="D41" s="409">
        <f>SUM(D13:D40)</f>
        <v>120718</v>
      </c>
      <c r="E41" s="410"/>
      <c r="F41" s="411"/>
    </row>
    <row r="42" spans="1:6">
      <c r="D42" s="412"/>
    </row>
    <row r="43" spans="1:6">
      <c r="A43" s="392" t="s">
        <v>55</v>
      </c>
      <c r="F43" s="405">
        <f>F8-F40</f>
        <v>21908967.533300001</v>
      </c>
    </row>
    <row r="45" spans="1:6" ht="15.75">
      <c r="A45" s="392" t="s">
        <v>56</v>
      </c>
      <c r="F45" s="413">
        <f>F43/'Schedule 1'!C73</f>
        <v>181.47829806005385</v>
      </c>
    </row>
    <row r="47" spans="1:6" ht="15.75" thickBot="1"/>
    <row r="48" spans="1:6" ht="15.75" thickBot="1">
      <c r="A48" s="392" t="s">
        <v>437</v>
      </c>
      <c r="B48" s="414">
        <v>1.25</v>
      </c>
    </row>
    <row r="49" spans="1:2" ht="9.75" customHeight="1" thickBot="1">
      <c r="A49" s="392"/>
      <c r="B49" s="364"/>
    </row>
    <row r="50" spans="1:2" ht="15.75" thickBot="1">
      <c r="A50" s="392" t="s">
        <v>438</v>
      </c>
      <c r="B50" s="414">
        <v>1.25</v>
      </c>
    </row>
    <row r="52" spans="1:2">
      <c r="A52" s="379" t="s">
        <v>682</v>
      </c>
    </row>
    <row r="53" spans="1:2">
      <c r="A53" s="190" t="s">
        <v>683</v>
      </c>
    </row>
    <row r="55" spans="1:2" ht="15.75">
      <c r="A55" s="386" t="s">
        <v>146</v>
      </c>
    </row>
    <row r="56" spans="1:2">
      <c r="A56" s="392" t="s">
        <v>147</v>
      </c>
    </row>
    <row r="58" spans="1:2">
      <c r="A58" s="392" t="s">
        <v>148</v>
      </c>
      <c r="B58" s="396">
        <f>+'Schedule 6'!C27</f>
        <v>100.21</v>
      </c>
    </row>
    <row r="59" spans="1:2">
      <c r="A59" s="392" t="s">
        <v>149</v>
      </c>
      <c r="B59" s="415">
        <f>+'Schedule 6'!F27</f>
        <v>46.444700000000005</v>
      </c>
    </row>
    <row r="60" spans="1:2">
      <c r="A60" s="392" t="s">
        <v>61</v>
      </c>
      <c r="B60" s="415">
        <f>+'Schedule 6'!G27</f>
        <v>11.801200000000001</v>
      </c>
    </row>
    <row r="61" spans="1:2">
      <c r="A61" s="392" t="s">
        <v>62</v>
      </c>
      <c r="B61" s="415">
        <f>+'Schedule 6'!H27+'Schedule 6'!I27</f>
        <v>2.3399000000000001</v>
      </c>
    </row>
    <row r="62" spans="1:2">
      <c r="A62" s="392" t="s">
        <v>63</v>
      </c>
      <c r="B62" s="416">
        <f>+'Schedule 6'!D27</f>
        <v>8.3699999999999992</v>
      </c>
    </row>
    <row r="64" spans="1:2" ht="15.75">
      <c r="A64" s="392" t="s">
        <v>33</v>
      </c>
      <c r="B64" s="413">
        <f>SUM(B58:B62)</f>
        <v>169.16579999999999</v>
      </c>
    </row>
  </sheetData>
  <phoneticPr fontId="0" type="noConversion"/>
  <printOptions horizontalCentered="1"/>
  <pageMargins left="0.5" right="0.5" top="0.5" bottom="0.65277777777777779" header="0" footer="0"/>
  <pageSetup scale="74" orientation="portrait" r:id="rId1"/>
  <headerFooter alignWithMargins="0">
    <oddFooter>&amp;LDate : &amp;D</oddFooter>
  </headerFooter>
  <rowBreaks count="1" manualBreakCount="1">
    <brk id="4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="87" workbookViewId="0">
      <selection activeCell="B7" sqref="B7:B9"/>
    </sheetView>
  </sheetViews>
  <sheetFormatPr defaultRowHeight="15"/>
  <cols>
    <col min="1" max="1" width="33.109375" style="417" customWidth="1"/>
    <col min="2" max="2" width="12.44140625" style="417" customWidth="1"/>
    <col min="3" max="8" width="10.77734375" style="417" customWidth="1"/>
    <col min="9" max="16384" width="8.88671875" style="417"/>
  </cols>
  <sheetData>
    <row r="1" spans="1:8" ht="15.75">
      <c r="H1" s="418" t="s">
        <v>799</v>
      </c>
    </row>
    <row r="2" spans="1:8" ht="18">
      <c r="A2" s="381" t="str">
        <f>+'Schedule 3'!A2</f>
        <v>STREET / CROSSWALK LIGHTING STUDY</v>
      </c>
      <c r="B2" s="419"/>
      <c r="C2" s="419"/>
      <c r="D2" s="419"/>
      <c r="E2" s="419"/>
      <c r="F2" s="419"/>
      <c r="G2" s="419"/>
      <c r="H2" s="419"/>
    </row>
    <row r="3" spans="1:8" ht="18">
      <c r="A3" s="381"/>
      <c r="B3" s="419"/>
      <c r="C3" s="419"/>
      <c r="D3" s="419"/>
      <c r="E3" s="419"/>
      <c r="F3" s="419"/>
      <c r="G3" s="419"/>
      <c r="H3" s="419"/>
    </row>
    <row r="4" spans="1:8">
      <c r="A4" s="379"/>
      <c r="B4" s="379"/>
      <c r="C4" s="379"/>
      <c r="D4" s="379"/>
      <c r="E4" s="379"/>
      <c r="F4" s="379"/>
      <c r="G4" s="379"/>
      <c r="H4" s="379"/>
    </row>
    <row r="5" spans="1:8" ht="15.75">
      <c r="A5" s="420" t="s">
        <v>684</v>
      </c>
      <c r="B5" s="379"/>
      <c r="C5" s="379"/>
      <c r="D5" s="379"/>
      <c r="E5" s="379"/>
      <c r="F5" s="379"/>
      <c r="G5" s="379"/>
      <c r="H5" s="379"/>
    </row>
    <row r="6" spans="1:8" ht="16.5" thickBot="1">
      <c r="A6" s="420"/>
      <c r="B6" s="379"/>
      <c r="C6" s="379"/>
      <c r="D6" s="379"/>
      <c r="E6" s="379"/>
      <c r="F6" s="379"/>
      <c r="G6" s="379"/>
      <c r="H6" s="379"/>
    </row>
    <row r="7" spans="1:8" ht="16.5" thickBot="1">
      <c r="A7" s="421" t="s">
        <v>809</v>
      </c>
      <c r="B7" s="422">
        <v>4.4400000000000002E-2</v>
      </c>
      <c r="C7" s="379"/>
      <c r="D7" s="379"/>
      <c r="E7" s="379"/>
      <c r="F7" s="379"/>
      <c r="G7" s="379"/>
      <c r="H7" s="379"/>
    </row>
    <row r="8" spans="1:8" ht="15.75" thickBot="1">
      <c r="A8" s="421"/>
      <c r="B8" s="379"/>
      <c r="C8" s="379"/>
      <c r="D8" s="379"/>
      <c r="E8" s="379"/>
      <c r="F8" s="379"/>
      <c r="G8" s="379"/>
      <c r="H8" s="379"/>
    </row>
    <row r="9" spans="1:8" ht="31.5" thickBot="1">
      <c r="A9" s="423" t="s">
        <v>788</v>
      </c>
      <c r="B9" s="422">
        <f>+'Schedule 5'!G48</f>
        <v>0.11960000000000001</v>
      </c>
      <c r="C9" s="379"/>
      <c r="D9" s="379"/>
      <c r="E9" s="379"/>
      <c r="F9" s="379"/>
      <c r="G9" s="379"/>
      <c r="H9" s="379"/>
    </row>
    <row r="10" spans="1:8">
      <c r="A10" s="421"/>
      <c r="B10" s="379"/>
      <c r="C10" s="379"/>
      <c r="D10" s="379"/>
      <c r="E10" s="379"/>
      <c r="F10" s="379"/>
      <c r="G10" s="379"/>
      <c r="H10" s="379"/>
    </row>
    <row r="11" spans="1:8">
      <c r="B11" s="379"/>
      <c r="C11" s="379"/>
      <c r="D11" s="379"/>
      <c r="E11" s="379"/>
      <c r="F11" s="424"/>
      <c r="G11" s="391" t="s">
        <v>50</v>
      </c>
      <c r="H11" s="391" t="s">
        <v>50</v>
      </c>
    </row>
    <row r="12" spans="1:8">
      <c r="A12" s="379"/>
      <c r="B12" s="391" t="s">
        <v>93</v>
      </c>
      <c r="C12" s="391" t="s">
        <v>66</v>
      </c>
      <c r="D12" s="379"/>
      <c r="E12" s="391" t="s">
        <v>68</v>
      </c>
      <c r="F12" s="391" t="s">
        <v>95</v>
      </c>
      <c r="G12" s="391" t="s">
        <v>70</v>
      </c>
      <c r="H12" s="391" t="s">
        <v>71</v>
      </c>
    </row>
    <row r="13" spans="1:8">
      <c r="A13" s="379"/>
      <c r="B13" s="425" t="s">
        <v>140</v>
      </c>
      <c r="C13" s="426" t="s">
        <v>51</v>
      </c>
      <c r="D13" s="426" t="s">
        <v>50</v>
      </c>
      <c r="E13" s="426" t="s">
        <v>94</v>
      </c>
      <c r="F13" s="426" t="s">
        <v>88</v>
      </c>
      <c r="G13" s="426" t="s">
        <v>51</v>
      </c>
      <c r="H13" s="426" t="s">
        <v>51</v>
      </c>
    </row>
    <row r="14" spans="1:8">
      <c r="A14" s="379"/>
      <c r="B14" s="379"/>
      <c r="C14" s="379"/>
      <c r="D14" s="379"/>
      <c r="E14" s="379"/>
      <c r="F14" s="379"/>
      <c r="G14" s="379"/>
      <c r="H14" s="379"/>
    </row>
    <row r="15" spans="1:8">
      <c r="A15" s="392" t="s">
        <v>10</v>
      </c>
      <c r="B15" s="396">
        <f>'Schedule 3'!C13</f>
        <v>64.2</v>
      </c>
      <c r="C15" s="396">
        <f>'Schedule 3'!F$45</f>
        <v>181.47829806005385</v>
      </c>
      <c r="D15" s="396">
        <f t="shared" ref="D15:D42" si="0">B15+C15</f>
        <v>245.67829806005386</v>
      </c>
      <c r="E15" s="396">
        <f>D15*B$7</f>
        <v>10.908116433866391</v>
      </c>
      <c r="F15" s="396">
        <f>D15*B$9</f>
        <v>29.383124447982446</v>
      </c>
      <c r="G15" s="396">
        <f t="shared" ref="G15:G42" si="1">E15+F15</f>
        <v>40.291240881848836</v>
      </c>
      <c r="H15" s="396">
        <f t="shared" ref="H15:H42" si="2">G15/12</f>
        <v>3.3576034068207363</v>
      </c>
    </row>
    <row r="16" spans="1:8">
      <c r="A16" s="392" t="s">
        <v>11</v>
      </c>
      <c r="B16" s="415">
        <f>'Schedule 3'!C14</f>
        <v>79.524999999999991</v>
      </c>
      <c r="C16" s="415">
        <f>'Schedule 3'!F$45</f>
        <v>181.47829806005385</v>
      </c>
      <c r="D16" s="427">
        <f t="shared" si="0"/>
        <v>261.00329806005385</v>
      </c>
      <c r="E16" s="415">
        <f>D16*B$7</f>
        <v>11.588546433866391</v>
      </c>
      <c r="F16" s="427">
        <f>D16*B$9</f>
        <v>31.215994447982442</v>
      </c>
      <c r="G16" s="415">
        <f t="shared" si="1"/>
        <v>42.804540881848837</v>
      </c>
      <c r="H16" s="415">
        <f t="shared" si="2"/>
        <v>3.5670450734874031</v>
      </c>
    </row>
    <row r="17" spans="1:8">
      <c r="A17" s="392" t="s">
        <v>12</v>
      </c>
      <c r="B17" s="415">
        <f>'Schedule 3'!C15</f>
        <v>206.8228</v>
      </c>
      <c r="C17" s="415">
        <f>'Schedule 3'!F$45</f>
        <v>181.47829806005385</v>
      </c>
      <c r="D17" s="427">
        <f t="shared" si="0"/>
        <v>388.30109806005385</v>
      </c>
      <c r="E17" s="415">
        <f t="shared" ref="E17:E42" si="3">D17*B$7</f>
        <v>17.240568753866391</v>
      </c>
      <c r="F17" s="427">
        <f t="shared" ref="F17:F42" si="4">D17*B$9</f>
        <v>46.440811327982445</v>
      </c>
      <c r="G17" s="415">
        <f t="shared" si="1"/>
        <v>63.681380081848836</v>
      </c>
      <c r="H17" s="415">
        <f t="shared" si="2"/>
        <v>5.3067816734874027</v>
      </c>
    </row>
    <row r="18" spans="1:8">
      <c r="A18" s="392" t="s">
        <v>13</v>
      </c>
      <c r="B18" s="415">
        <f>'Schedule 3'!C16</f>
        <v>182.04580000000001</v>
      </c>
      <c r="C18" s="415">
        <f>'Schedule 3'!F$45</f>
        <v>181.47829806005385</v>
      </c>
      <c r="D18" s="427">
        <f t="shared" si="0"/>
        <v>363.52409806005386</v>
      </c>
      <c r="E18" s="415">
        <f t="shared" si="3"/>
        <v>16.140469953866393</v>
      </c>
      <c r="F18" s="427">
        <f t="shared" si="4"/>
        <v>43.477482127982448</v>
      </c>
      <c r="G18" s="415">
        <f t="shared" si="1"/>
        <v>59.617952081848841</v>
      </c>
      <c r="H18" s="415">
        <f t="shared" si="2"/>
        <v>4.9681626734874031</v>
      </c>
    </row>
    <row r="19" spans="1:8">
      <c r="A19" s="392" t="s">
        <v>14</v>
      </c>
      <c r="B19" s="415">
        <f>'Schedule 3'!C17</f>
        <v>178.54580000000001</v>
      </c>
      <c r="C19" s="415">
        <f>'Schedule 3'!F$45</f>
        <v>181.47829806005385</v>
      </c>
      <c r="D19" s="427">
        <f t="shared" si="0"/>
        <v>360.02409806005386</v>
      </c>
      <c r="E19" s="415">
        <f t="shared" si="3"/>
        <v>15.985069953866391</v>
      </c>
      <c r="F19" s="427">
        <f t="shared" si="4"/>
        <v>43.058882127982443</v>
      </c>
      <c r="G19" s="415">
        <f t="shared" si="1"/>
        <v>59.043952081848836</v>
      </c>
      <c r="H19" s="415">
        <f t="shared" si="2"/>
        <v>4.92032934015407</v>
      </c>
    </row>
    <row r="20" spans="1:8">
      <c r="A20" s="392" t="s">
        <v>15</v>
      </c>
      <c r="B20" s="415">
        <f>'Schedule 3'!C18</f>
        <v>276.89109999999999</v>
      </c>
      <c r="C20" s="415">
        <f>'Schedule 3'!F$45</f>
        <v>181.47829806005385</v>
      </c>
      <c r="D20" s="427">
        <f t="shared" si="0"/>
        <v>458.36939806005387</v>
      </c>
      <c r="E20" s="415">
        <f t="shared" si="3"/>
        <v>20.351601273866393</v>
      </c>
      <c r="F20" s="427">
        <f t="shared" si="4"/>
        <v>54.820980007982449</v>
      </c>
      <c r="G20" s="415">
        <f t="shared" si="1"/>
        <v>75.172581281848835</v>
      </c>
      <c r="H20" s="415">
        <f t="shared" si="2"/>
        <v>6.2643817734874032</v>
      </c>
    </row>
    <row r="21" spans="1:8">
      <c r="A21" s="392" t="s">
        <v>16</v>
      </c>
      <c r="B21" s="415">
        <f>'Schedule 3'!C19</f>
        <v>286.96109999999999</v>
      </c>
      <c r="C21" s="415">
        <f>'Schedule 3'!F$45</f>
        <v>181.47829806005385</v>
      </c>
      <c r="D21" s="427">
        <f t="shared" si="0"/>
        <v>468.4393980600538</v>
      </c>
      <c r="E21" s="415">
        <f t="shared" si="3"/>
        <v>20.79870927386639</v>
      </c>
      <c r="F21" s="427">
        <f t="shared" si="4"/>
        <v>56.025352007982441</v>
      </c>
      <c r="G21" s="415">
        <f t="shared" si="1"/>
        <v>76.824061281848827</v>
      </c>
      <c r="H21" s="415">
        <f t="shared" si="2"/>
        <v>6.4020051068207353</v>
      </c>
    </row>
    <row r="22" spans="1:8">
      <c r="A22" s="392" t="s">
        <v>17</v>
      </c>
      <c r="B22" s="415">
        <f>'Schedule 3'!C20</f>
        <v>435.2971</v>
      </c>
      <c r="C22" s="415">
        <f>'Schedule 3'!F$45</f>
        <v>181.47829806005385</v>
      </c>
      <c r="D22" s="427">
        <f t="shared" si="0"/>
        <v>616.77539806005382</v>
      </c>
      <c r="E22" s="415">
        <f t="shared" si="3"/>
        <v>27.38482767386639</v>
      </c>
      <c r="F22" s="427">
        <f t="shared" si="4"/>
        <v>73.76633760798245</v>
      </c>
      <c r="G22" s="415">
        <f t="shared" si="1"/>
        <v>101.15116528184885</v>
      </c>
      <c r="H22" s="415">
        <f t="shared" si="2"/>
        <v>8.4292637734874045</v>
      </c>
    </row>
    <row r="23" spans="1:8">
      <c r="A23" s="392" t="s">
        <v>18</v>
      </c>
      <c r="B23" s="415">
        <f>'Schedule 3'!C21</f>
        <v>559.52109999999993</v>
      </c>
      <c r="C23" s="415">
        <f>'Schedule 3'!F$45</f>
        <v>181.47829806005385</v>
      </c>
      <c r="D23" s="427">
        <f t="shared" si="0"/>
        <v>740.99939806005375</v>
      </c>
      <c r="E23" s="415">
        <f t="shared" si="3"/>
        <v>32.900373273866386</v>
      </c>
      <c r="F23" s="427">
        <f t="shared" si="4"/>
        <v>88.623528007982443</v>
      </c>
      <c r="G23" s="415">
        <f t="shared" si="1"/>
        <v>121.52390128184882</v>
      </c>
      <c r="H23" s="415">
        <f t="shared" si="2"/>
        <v>10.126991773487402</v>
      </c>
    </row>
    <row r="24" spans="1:8">
      <c r="A24" s="392" t="s">
        <v>19</v>
      </c>
      <c r="B24" s="415">
        <f>'Schedule 3'!C22</f>
        <v>276.89109999999999</v>
      </c>
      <c r="C24" s="415">
        <f>'Schedule 3'!F$45</f>
        <v>181.47829806005385</v>
      </c>
      <c r="D24" s="427">
        <f t="shared" si="0"/>
        <v>458.36939806005387</v>
      </c>
      <c r="E24" s="415">
        <f t="shared" si="3"/>
        <v>20.351601273866393</v>
      </c>
      <c r="F24" s="427">
        <f t="shared" si="4"/>
        <v>54.820980007982449</v>
      </c>
      <c r="G24" s="415">
        <f t="shared" si="1"/>
        <v>75.172581281848835</v>
      </c>
      <c r="H24" s="415">
        <f t="shared" si="2"/>
        <v>6.2643817734874032</v>
      </c>
    </row>
    <row r="25" spans="1:8">
      <c r="A25" s="392" t="s">
        <v>20</v>
      </c>
      <c r="B25" s="415">
        <f>'Schedule 3'!C23</f>
        <v>133.05000000000001</v>
      </c>
      <c r="C25" s="415">
        <f>'Schedule 3'!F$45</f>
        <v>181.47829806005385</v>
      </c>
      <c r="D25" s="427">
        <f t="shared" si="0"/>
        <v>314.52829806005388</v>
      </c>
      <c r="E25" s="415">
        <f t="shared" si="3"/>
        <v>13.965056433866392</v>
      </c>
      <c r="F25" s="427">
        <f t="shared" si="4"/>
        <v>37.617584447982445</v>
      </c>
      <c r="G25" s="415">
        <f t="shared" si="1"/>
        <v>51.582640881848839</v>
      </c>
      <c r="H25" s="415">
        <f t="shared" si="2"/>
        <v>4.2985534068207363</v>
      </c>
    </row>
    <row r="26" spans="1:8">
      <c r="A26" s="392" t="s">
        <v>21</v>
      </c>
      <c r="B26" s="415">
        <f>'Schedule 3'!C24</f>
        <v>164.88749999999999</v>
      </c>
      <c r="C26" s="415">
        <f>'Schedule 3'!F$45</f>
        <v>181.47829806005385</v>
      </c>
      <c r="D26" s="427">
        <f t="shared" si="0"/>
        <v>346.36579806005386</v>
      </c>
      <c r="E26" s="415">
        <f t="shared" si="3"/>
        <v>15.378641433866392</v>
      </c>
      <c r="F26" s="427">
        <f t="shared" si="4"/>
        <v>41.425349447982448</v>
      </c>
      <c r="G26" s="415">
        <f t="shared" si="1"/>
        <v>56.80399088184884</v>
      </c>
      <c r="H26" s="415">
        <f t="shared" si="2"/>
        <v>4.733665906820737</v>
      </c>
    </row>
    <row r="27" spans="1:8">
      <c r="A27" s="392" t="s">
        <v>22</v>
      </c>
      <c r="B27" s="415">
        <f>'Schedule 3'!C25</f>
        <v>223.4</v>
      </c>
      <c r="C27" s="415">
        <f>'Schedule 3'!F$45</f>
        <v>181.47829806005385</v>
      </c>
      <c r="D27" s="427">
        <f t="shared" si="0"/>
        <v>404.87829806005385</v>
      </c>
      <c r="E27" s="415">
        <f t="shared" si="3"/>
        <v>17.976596433866391</v>
      </c>
      <c r="F27" s="427">
        <f t="shared" si="4"/>
        <v>48.423444447982448</v>
      </c>
      <c r="G27" s="415">
        <f t="shared" si="1"/>
        <v>66.400040881848838</v>
      </c>
      <c r="H27" s="415">
        <f t="shared" si="2"/>
        <v>5.5333367401540698</v>
      </c>
    </row>
    <row r="28" spans="1:8">
      <c r="A28" s="392" t="s">
        <v>23</v>
      </c>
      <c r="B28" s="415">
        <f>'Schedule 3'!C26</f>
        <v>367.15000000000003</v>
      </c>
      <c r="C28" s="415">
        <f>'Schedule 3'!F$45</f>
        <v>181.47829806005385</v>
      </c>
      <c r="D28" s="427">
        <f t="shared" si="0"/>
        <v>548.62829806005391</v>
      </c>
      <c r="E28" s="415">
        <f t="shared" si="3"/>
        <v>24.359096433866394</v>
      </c>
      <c r="F28" s="427">
        <f t="shared" si="4"/>
        <v>65.615944447982457</v>
      </c>
      <c r="G28" s="415">
        <f t="shared" si="1"/>
        <v>89.975040881848855</v>
      </c>
      <c r="H28" s="415">
        <f t="shared" si="2"/>
        <v>7.4979200734874043</v>
      </c>
    </row>
    <row r="29" spans="1:8">
      <c r="A29" s="392" t="s">
        <v>24</v>
      </c>
      <c r="B29" s="415">
        <f>'Schedule 3'!C27</f>
        <v>200</v>
      </c>
      <c r="C29" s="415">
        <f>'Schedule 3'!F$45</f>
        <v>181.47829806005385</v>
      </c>
      <c r="D29" s="427">
        <f t="shared" si="0"/>
        <v>381.47829806005382</v>
      </c>
      <c r="E29" s="415">
        <f t="shared" si="3"/>
        <v>16.937636433866391</v>
      </c>
      <c r="F29" s="427">
        <f t="shared" si="4"/>
        <v>45.624804447982442</v>
      </c>
      <c r="G29" s="415">
        <f t="shared" si="1"/>
        <v>62.562440881848829</v>
      </c>
      <c r="H29" s="415">
        <f t="shared" si="2"/>
        <v>5.2135367401540691</v>
      </c>
    </row>
    <row r="30" spans="1:8">
      <c r="A30" s="392" t="s">
        <v>25</v>
      </c>
      <c r="B30" s="415">
        <f>'Schedule 3'!C28</f>
        <v>151.52500000000001</v>
      </c>
      <c r="C30" s="415">
        <f>'Schedule 3'!F$45</f>
        <v>181.47829806005385</v>
      </c>
      <c r="D30" s="427">
        <f t="shared" si="0"/>
        <v>333.00329806005385</v>
      </c>
      <c r="E30" s="415">
        <f t="shared" si="3"/>
        <v>14.785346433866392</v>
      </c>
      <c r="F30" s="427">
        <f t="shared" si="4"/>
        <v>39.827194447982443</v>
      </c>
      <c r="G30" s="415">
        <f t="shared" si="1"/>
        <v>54.612540881848837</v>
      </c>
      <c r="H30" s="415">
        <f t="shared" si="2"/>
        <v>4.5510450734874031</v>
      </c>
    </row>
    <row r="31" spans="1:8">
      <c r="A31" s="392" t="s">
        <v>26</v>
      </c>
      <c r="B31" s="415">
        <f>'Schedule 3'!C29</f>
        <v>236.13749999999999</v>
      </c>
      <c r="C31" s="415">
        <f>'Schedule 3'!F$45</f>
        <v>181.47829806005385</v>
      </c>
      <c r="D31" s="427">
        <f t="shared" si="0"/>
        <v>417.61579806005386</v>
      </c>
      <c r="E31" s="415">
        <f t="shared" si="3"/>
        <v>18.542141433866391</v>
      </c>
      <c r="F31" s="427">
        <f t="shared" si="4"/>
        <v>49.946849447982444</v>
      </c>
      <c r="G31" s="415">
        <f t="shared" si="1"/>
        <v>68.488990881848835</v>
      </c>
      <c r="H31" s="415">
        <f t="shared" si="2"/>
        <v>5.707415906820736</v>
      </c>
    </row>
    <row r="32" spans="1:8">
      <c r="A32" s="392" t="s">
        <v>620</v>
      </c>
      <c r="B32" s="428">
        <f>'Schedule 3'!C30</f>
        <v>177.00389999999999</v>
      </c>
      <c r="C32" s="415">
        <f>'Schedule 3'!F$45</f>
        <v>181.47829806005385</v>
      </c>
      <c r="D32" s="427">
        <f>B32+C32</f>
        <v>358.48219806005386</v>
      </c>
      <c r="E32" s="415">
        <f t="shared" si="3"/>
        <v>15.916609593866392</v>
      </c>
      <c r="F32" s="427">
        <f t="shared" si="4"/>
        <v>42.874470887982447</v>
      </c>
      <c r="G32" s="415">
        <f>E32+F32</f>
        <v>58.791080481848837</v>
      </c>
      <c r="H32" s="415">
        <f t="shared" si="2"/>
        <v>4.8992567068207364</v>
      </c>
    </row>
    <row r="33" spans="1:8">
      <c r="A33" s="392" t="s">
        <v>621</v>
      </c>
      <c r="B33" s="428">
        <f>'Schedule 3'!C31</f>
        <v>169.16579999999999</v>
      </c>
      <c r="C33" s="415">
        <f>'Schedule 3'!F$45</f>
        <v>181.47829806005385</v>
      </c>
      <c r="D33" s="427">
        <f>B33+C33</f>
        <v>350.64409806005381</v>
      </c>
      <c r="E33" s="415">
        <f t="shared" si="3"/>
        <v>15.568597953866389</v>
      </c>
      <c r="F33" s="427">
        <f t="shared" si="4"/>
        <v>41.937034127982443</v>
      </c>
      <c r="G33" s="415">
        <f>E33+F33</f>
        <v>57.50563208184883</v>
      </c>
      <c r="H33" s="415">
        <f t="shared" si="2"/>
        <v>4.7921360068207361</v>
      </c>
    </row>
    <row r="34" spans="1:8">
      <c r="A34" s="392" t="s">
        <v>622</v>
      </c>
      <c r="B34" s="428">
        <f>'Schedule 3'!C32</f>
        <v>172.20580000000001</v>
      </c>
      <c r="C34" s="415">
        <f>'Schedule 3'!F$45</f>
        <v>181.47829806005385</v>
      </c>
      <c r="D34" s="427">
        <f>B34+C34</f>
        <v>353.68409806005388</v>
      </c>
      <c r="E34" s="415">
        <f t="shared" si="3"/>
        <v>15.703573953866393</v>
      </c>
      <c r="F34" s="427">
        <f t="shared" si="4"/>
        <v>42.300618127982446</v>
      </c>
      <c r="G34" s="415">
        <f>E34+F34</f>
        <v>58.004192081848842</v>
      </c>
      <c r="H34" s="415">
        <f t="shared" si="2"/>
        <v>4.8336826734874032</v>
      </c>
    </row>
    <row r="35" spans="1:8">
      <c r="A35" s="392" t="s">
        <v>618</v>
      </c>
      <c r="B35" s="415">
        <f>'Schedule 3'!C33</f>
        <v>223.05109999999999</v>
      </c>
      <c r="C35" s="415">
        <f>'Schedule 3'!F$45</f>
        <v>181.47829806005385</v>
      </c>
      <c r="D35" s="427">
        <f t="shared" si="0"/>
        <v>404.52939806005384</v>
      </c>
      <c r="E35" s="415">
        <f t="shared" si="3"/>
        <v>17.961105273866391</v>
      </c>
      <c r="F35" s="427">
        <f t="shared" si="4"/>
        <v>48.38171600798244</v>
      </c>
      <c r="G35" s="415">
        <f t="shared" si="1"/>
        <v>66.342821281848828</v>
      </c>
      <c r="H35" s="415">
        <f t="shared" si="2"/>
        <v>5.5285684401540687</v>
      </c>
    </row>
    <row r="36" spans="1:8">
      <c r="A36" s="392" t="s">
        <v>619</v>
      </c>
      <c r="B36" s="415">
        <f>'Schedule 3'!C34</f>
        <v>238.12110000000001</v>
      </c>
      <c r="C36" s="415">
        <f>'Schedule 3'!F$45</f>
        <v>181.47829806005385</v>
      </c>
      <c r="D36" s="427">
        <f t="shared" si="0"/>
        <v>419.59939806005389</v>
      </c>
      <c r="E36" s="415">
        <f t="shared" si="3"/>
        <v>18.630213273866392</v>
      </c>
      <c r="F36" s="427">
        <f t="shared" si="4"/>
        <v>50.184088007982453</v>
      </c>
      <c r="G36" s="415">
        <f t="shared" si="1"/>
        <v>68.814301281848842</v>
      </c>
      <c r="H36" s="415">
        <f t="shared" si="2"/>
        <v>5.7345251068207368</v>
      </c>
    </row>
    <row r="37" spans="1:8">
      <c r="A37" s="392" t="s">
        <v>89</v>
      </c>
      <c r="B37" s="428">
        <f>'Schedule 3'!C35</f>
        <v>575.80579999999998</v>
      </c>
      <c r="C37" s="415">
        <f>'Schedule 3'!F$45</f>
        <v>181.47829806005385</v>
      </c>
      <c r="D37" s="427">
        <f>B37+C37</f>
        <v>757.28409806005379</v>
      </c>
      <c r="E37" s="415">
        <f t="shared" si="3"/>
        <v>33.62341395386639</v>
      </c>
      <c r="F37" s="427">
        <f t="shared" si="4"/>
        <v>90.571178127982449</v>
      </c>
      <c r="G37" s="415">
        <f>E37+F37</f>
        <v>124.19459208184884</v>
      </c>
      <c r="H37" s="415">
        <f t="shared" si="2"/>
        <v>10.34954934015407</v>
      </c>
    </row>
    <row r="38" spans="1:8">
      <c r="A38" s="392" t="s">
        <v>29</v>
      </c>
      <c r="B38" s="415">
        <f>'Schedule 3'!C36</f>
        <v>575.80579999999998</v>
      </c>
      <c r="C38" s="415">
        <f>'Schedule 3'!F$45</f>
        <v>181.47829806005385</v>
      </c>
      <c r="D38" s="427">
        <f t="shared" si="0"/>
        <v>757.28409806005379</v>
      </c>
      <c r="E38" s="415">
        <f t="shared" si="3"/>
        <v>33.62341395386639</v>
      </c>
      <c r="F38" s="427">
        <f t="shared" si="4"/>
        <v>90.571178127982449</v>
      </c>
      <c r="G38" s="415">
        <f t="shared" si="1"/>
        <v>124.19459208184884</v>
      </c>
      <c r="H38" s="415">
        <f t="shared" si="2"/>
        <v>10.34954934015407</v>
      </c>
    </row>
    <row r="39" spans="1:8">
      <c r="A39" s="392" t="s">
        <v>30</v>
      </c>
      <c r="B39" s="415">
        <f>'Schedule 3'!C37</f>
        <v>685.26580000000001</v>
      </c>
      <c r="C39" s="415">
        <f>'Schedule 3'!F$45</f>
        <v>181.47829806005385</v>
      </c>
      <c r="D39" s="427">
        <f t="shared" si="0"/>
        <v>866.74409806005383</v>
      </c>
      <c r="E39" s="415">
        <f t="shared" si="3"/>
        <v>38.483437953866392</v>
      </c>
      <c r="F39" s="427">
        <f t="shared" si="4"/>
        <v>103.66259412798244</v>
      </c>
      <c r="G39" s="415">
        <f t="shared" si="1"/>
        <v>142.14603208184883</v>
      </c>
      <c r="H39" s="415">
        <f t="shared" si="2"/>
        <v>11.845502673487402</v>
      </c>
    </row>
    <row r="40" spans="1:8">
      <c r="A40" s="392" t="s">
        <v>90</v>
      </c>
      <c r="B40" s="428">
        <f>'Schedule 3'!C38</f>
        <v>419.69110000000001</v>
      </c>
      <c r="C40" s="415">
        <f>'Schedule 3'!F$45</f>
        <v>181.47829806005385</v>
      </c>
      <c r="D40" s="427">
        <f>B40+C40</f>
        <v>601.16939806005382</v>
      </c>
      <c r="E40" s="415">
        <f t="shared" si="3"/>
        <v>26.691921273866392</v>
      </c>
      <c r="F40" s="427">
        <f t="shared" si="4"/>
        <v>71.89986000798244</v>
      </c>
      <c r="G40" s="415">
        <f>E40+F40</f>
        <v>98.591781281848824</v>
      </c>
      <c r="H40" s="415">
        <f t="shared" si="2"/>
        <v>8.2159817734874014</v>
      </c>
    </row>
    <row r="41" spans="1:8">
      <c r="A41" s="392" t="s">
        <v>31</v>
      </c>
      <c r="B41" s="415">
        <f>'Schedule 3'!C39</f>
        <v>279.83109999999999</v>
      </c>
      <c r="C41" s="415">
        <f>'Schedule 3'!F$45</f>
        <v>181.47829806005385</v>
      </c>
      <c r="D41" s="427">
        <f t="shared" si="0"/>
        <v>461.30939806005381</v>
      </c>
      <c r="E41" s="415">
        <f t="shared" si="3"/>
        <v>20.482137273866389</v>
      </c>
      <c r="F41" s="427">
        <f t="shared" si="4"/>
        <v>55.172604007982443</v>
      </c>
      <c r="G41" s="415">
        <f t="shared" si="1"/>
        <v>75.654741281848828</v>
      </c>
      <c r="H41" s="415">
        <f t="shared" si="2"/>
        <v>6.3045617734874027</v>
      </c>
    </row>
    <row r="42" spans="1:8">
      <c r="A42" s="392" t="s">
        <v>32</v>
      </c>
      <c r="B42" s="429">
        <f>'Schedule 3'!C40</f>
        <v>527.40109999999993</v>
      </c>
      <c r="C42" s="429">
        <f>'Schedule 3'!F$45</f>
        <v>181.47829806005385</v>
      </c>
      <c r="D42" s="429">
        <f t="shared" si="0"/>
        <v>708.87939806005375</v>
      </c>
      <c r="E42" s="430">
        <f t="shared" si="3"/>
        <v>31.474245273866387</v>
      </c>
      <c r="F42" s="429">
        <f t="shared" si="4"/>
        <v>84.781976007982436</v>
      </c>
      <c r="G42" s="429">
        <f t="shared" si="1"/>
        <v>116.25622128184882</v>
      </c>
      <c r="H42" s="429">
        <f t="shared" si="2"/>
        <v>9.6880184401540692</v>
      </c>
    </row>
  </sheetData>
  <phoneticPr fontId="0" type="noConversion"/>
  <pageMargins left="0.75" right="0.75" top="1" bottom="1" header="0.5" footer="0.5"/>
  <pageSetup scale="67" orientation="portrait" r:id="rId1"/>
  <headerFooter alignWithMargins="0">
    <oddFooter>&amp;LDate: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opLeftCell="A22" workbookViewId="0">
      <selection activeCell="J18" sqref="J18"/>
    </sheetView>
  </sheetViews>
  <sheetFormatPr defaultColWidth="7.109375" defaultRowHeight="12.75"/>
  <cols>
    <col min="1" max="1" width="2.88671875" style="435" customWidth="1"/>
    <col min="2" max="3" width="7.109375" style="435" customWidth="1"/>
    <col min="4" max="4" width="8.33203125" style="435" customWidth="1"/>
    <col min="5" max="5" width="8.6640625" style="435" bestFit="1" customWidth="1"/>
    <col min="6" max="6" width="5.109375" style="435" customWidth="1"/>
    <col min="7" max="7" width="11.5546875" style="435" customWidth="1"/>
    <col min="8" max="16384" width="7.109375" style="435"/>
  </cols>
  <sheetData>
    <row r="1" spans="1:7">
      <c r="G1" s="436" t="s">
        <v>800</v>
      </c>
    </row>
    <row r="2" spans="1:7">
      <c r="G2" s="436"/>
    </row>
    <row r="3" spans="1:7" ht="15.75">
      <c r="A3" s="383" t="str">
        <f>+'Schedule 3'!A2</f>
        <v>STREET / CROSSWALK LIGHTING STUDY</v>
      </c>
      <c r="B3" s="437"/>
      <c r="C3" s="437"/>
      <c r="D3" s="437"/>
      <c r="E3" s="437"/>
      <c r="F3" s="437"/>
      <c r="G3" s="438"/>
    </row>
    <row r="4" spans="1:7" ht="15.75">
      <c r="A4" s="439" t="s">
        <v>721</v>
      </c>
      <c r="B4" s="440"/>
      <c r="C4" s="440"/>
      <c r="D4" s="440"/>
      <c r="E4" s="440"/>
      <c r="F4" s="440"/>
      <c r="G4" s="440"/>
    </row>
    <row r="5" spans="1:7">
      <c r="A5" s="441"/>
    </row>
    <row r="7" spans="1:7">
      <c r="A7" s="442" t="s">
        <v>722</v>
      </c>
      <c r="B7" s="318"/>
      <c r="C7" s="318"/>
      <c r="D7" s="431"/>
      <c r="E7" s="318"/>
    </row>
    <row r="8" spans="1:7">
      <c r="A8" s="443"/>
      <c r="B8" s="318"/>
      <c r="C8" s="444" t="s">
        <v>723</v>
      </c>
      <c r="D8" s="445" t="s">
        <v>51</v>
      </c>
      <c r="E8" s="444" t="s">
        <v>724</v>
      </c>
    </row>
    <row r="9" spans="1:7">
      <c r="A9" s="443"/>
      <c r="B9" s="318" t="s">
        <v>725</v>
      </c>
      <c r="C9" s="431">
        <v>7.7700000000000005E-2</v>
      </c>
      <c r="D9" s="431">
        <v>5.0799999999999998E-2</v>
      </c>
      <c r="E9" s="431">
        <f>C9*D9</f>
        <v>3.9471599999999999E-3</v>
      </c>
    </row>
    <row r="10" spans="1:7">
      <c r="A10" s="443"/>
      <c r="B10" s="318" t="s">
        <v>726</v>
      </c>
      <c r="C10" s="431">
        <v>0.45569999999999999</v>
      </c>
      <c r="D10" s="431">
        <v>8.1900000000000001E-2</v>
      </c>
      <c r="E10" s="431">
        <f>C10*D10</f>
        <v>3.732183E-2</v>
      </c>
    </row>
    <row r="11" spans="1:7">
      <c r="A11" s="443"/>
      <c r="B11" s="318" t="s">
        <v>727</v>
      </c>
      <c r="C11" s="431">
        <v>9.1499999999999998E-2</v>
      </c>
      <c r="D11" s="431">
        <v>5.4199999999999998E-2</v>
      </c>
      <c r="E11" s="431">
        <f>C11*D11</f>
        <v>4.9592999999999998E-3</v>
      </c>
    </row>
    <row r="12" spans="1:7">
      <c r="A12" s="443"/>
      <c r="B12" s="446" t="s">
        <v>728</v>
      </c>
      <c r="C12" s="432">
        <v>0.37509999999999999</v>
      </c>
      <c r="D12" s="432">
        <v>9.5500000000000002E-2</v>
      </c>
      <c r="E12" s="432">
        <f>C12*D12</f>
        <v>3.5822050000000001E-2</v>
      </c>
    </row>
    <row r="13" spans="1:7">
      <c r="A13" s="443"/>
      <c r="B13" s="318"/>
      <c r="C13" s="447">
        <f>SUM(C9:C12)</f>
        <v>1</v>
      </c>
      <c r="D13" s="318"/>
      <c r="E13" s="447">
        <f>SUM(E9:E12)</f>
        <v>8.2050339999999999E-2</v>
      </c>
    </row>
    <row r="14" spans="1:7">
      <c r="A14" s="443"/>
      <c r="B14" s="318"/>
      <c r="C14" s="448"/>
      <c r="D14" s="318"/>
      <c r="E14" s="447"/>
    </row>
    <row r="15" spans="1:7">
      <c r="A15" s="443"/>
      <c r="B15" s="443" t="s">
        <v>729</v>
      </c>
      <c r="C15" s="448"/>
      <c r="D15" s="318"/>
      <c r="E15" s="447"/>
      <c r="G15" s="449">
        <f>ROUND(E13,4)</f>
        <v>8.2100000000000006E-2</v>
      </c>
    </row>
    <row r="16" spans="1:7">
      <c r="G16" s="449"/>
    </row>
    <row r="17" spans="1:7">
      <c r="A17" s="441" t="s">
        <v>730</v>
      </c>
      <c r="G17" s="449"/>
    </row>
    <row r="18" spans="1:7">
      <c r="B18" s="435" t="s">
        <v>731</v>
      </c>
      <c r="E18" s="449">
        <f>E12</f>
        <v>3.5822050000000001E-2</v>
      </c>
      <c r="G18" s="449"/>
    </row>
    <row r="19" spans="1:7">
      <c r="B19" s="435" t="s">
        <v>744</v>
      </c>
      <c r="E19" s="433">
        <v>0.37</v>
      </c>
      <c r="G19" s="449"/>
    </row>
    <row r="20" spans="1:7">
      <c r="B20" s="435" t="s">
        <v>732</v>
      </c>
      <c r="E20" s="434">
        <f>(E18/(1-E19))-E18</f>
        <v>2.1038346825396827E-2</v>
      </c>
      <c r="G20" s="449"/>
    </row>
    <row r="21" spans="1:7">
      <c r="G21" s="449"/>
    </row>
    <row r="22" spans="1:7">
      <c r="B22" s="441" t="s">
        <v>733</v>
      </c>
      <c r="G22" s="449">
        <f>ROUND(E20,4)</f>
        <v>2.1000000000000001E-2</v>
      </c>
    </row>
    <row r="23" spans="1:7">
      <c r="G23" s="449"/>
    </row>
    <row r="24" spans="1:7">
      <c r="A24" s="441" t="s">
        <v>734</v>
      </c>
      <c r="G24" s="449"/>
    </row>
    <row r="25" spans="1:7">
      <c r="B25" s="318" t="s">
        <v>735</v>
      </c>
      <c r="C25" s="318"/>
      <c r="E25" s="450">
        <v>2.66E-3</v>
      </c>
      <c r="G25" s="449"/>
    </row>
    <row r="26" spans="1:7">
      <c r="B26" s="318" t="s">
        <v>736</v>
      </c>
      <c r="C26" s="318"/>
      <c r="E26" s="450">
        <v>1.25E-3</v>
      </c>
      <c r="G26" s="449"/>
    </row>
    <row r="27" spans="1:7">
      <c r="B27" s="318" t="s">
        <v>777</v>
      </c>
      <c r="C27" s="318"/>
      <c r="E27" s="451">
        <f>+'StLgt Assets'!D$61</f>
        <v>25.960500000000003</v>
      </c>
      <c r="G27" s="449"/>
    </row>
    <row r="28" spans="1:7">
      <c r="B28" s="318" t="s">
        <v>737</v>
      </c>
      <c r="C28" s="318"/>
      <c r="E28" s="452">
        <f>'StLgt Assets'!D62*'Schedule 5'!E$41</f>
        <v>2.0077639084032071</v>
      </c>
      <c r="G28" s="449"/>
    </row>
    <row r="29" spans="1:7">
      <c r="B29" s="318" t="s">
        <v>738</v>
      </c>
      <c r="C29" s="318"/>
      <c r="E29" s="453">
        <f>+'StLgt Assets'!D28</f>
        <v>4.3378357533275711</v>
      </c>
      <c r="G29" s="449"/>
    </row>
    <row r="30" spans="1:7">
      <c r="B30" s="318" t="s">
        <v>787</v>
      </c>
      <c r="C30" s="318"/>
      <c r="E30" s="451">
        <f>SUM(E27:E29)</f>
        <v>32.306099661730784</v>
      </c>
      <c r="G30" s="449"/>
    </row>
    <row r="31" spans="1:7">
      <c r="G31" s="449"/>
    </row>
    <row r="32" spans="1:7">
      <c r="B32" s="435" t="s">
        <v>735</v>
      </c>
      <c r="E32" s="454">
        <f>E25*E30</f>
        <v>8.593422510020389E-2</v>
      </c>
      <c r="G32" s="449"/>
    </row>
    <row r="33" spans="1:7">
      <c r="B33" s="435" t="s">
        <v>736</v>
      </c>
      <c r="E33" s="454">
        <f>(E26*E30)/(1-E19)</f>
        <v>6.4099404090735682E-2</v>
      </c>
      <c r="G33" s="449"/>
    </row>
    <row r="34" spans="1:7">
      <c r="B34" s="435" t="s">
        <v>50</v>
      </c>
      <c r="E34" s="454">
        <f>E33+E32</f>
        <v>0.15003362919093957</v>
      </c>
      <c r="G34" s="449"/>
    </row>
    <row r="35" spans="1:7">
      <c r="B35" s="435" t="s">
        <v>739</v>
      </c>
      <c r="E35" s="434">
        <f>E34/E30</f>
        <v>4.6441269841269841E-3</v>
      </c>
      <c r="G35" s="449"/>
    </row>
    <row r="36" spans="1:7">
      <c r="G36" s="449"/>
    </row>
    <row r="37" spans="1:7">
      <c r="B37" s="441" t="s">
        <v>740</v>
      </c>
      <c r="G37" s="449">
        <f>ROUND(E35,4)</f>
        <v>4.5999999999999999E-3</v>
      </c>
    </row>
    <row r="38" spans="1:7">
      <c r="G38" s="449"/>
    </row>
    <row r="39" spans="1:7">
      <c r="A39" s="441" t="s">
        <v>741</v>
      </c>
      <c r="G39" s="449"/>
    </row>
    <row r="40" spans="1:7">
      <c r="B40" s="435" t="s">
        <v>810</v>
      </c>
      <c r="E40" s="451">
        <v>32.563000000000002</v>
      </c>
      <c r="G40" s="449"/>
    </row>
    <row r="41" spans="1:7">
      <c r="B41" s="435" t="s">
        <v>780</v>
      </c>
      <c r="E41" s="434">
        <f>+'StLgt Assets'!D66</f>
        <v>1.184070904230076E-2</v>
      </c>
      <c r="G41" s="449"/>
    </row>
    <row r="42" spans="1:7">
      <c r="B42" s="435" t="s">
        <v>781</v>
      </c>
      <c r="E42" s="454">
        <f>E41*E40</f>
        <v>0.38556900854443965</v>
      </c>
      <c r="G42" s="449"/>
    </row>
    <row r="43" spans="1:7">
      <c r="B43" s="435" t="s">
        <v>739</v>
      </c>
      <c r="E43" s="434">
        <f>E42/E30</f>
        <v>1.1934867179314055E-2</v>
      </c>
      <c r="G43" s="449"/>
    </row>
    <row r="44" spans="1:7">
      <c r="G44" s="449"/>
    </row>
    <row r="45" spans="1:7">
      <c r="B45" s="441" t="s">
        <v>742</v>
      </c>
      <c r="G45" s="449">
        <f>ROUND(E43,4)</f>
        <v>1.1900000000000001E-2</v>
      </c>
    </row>
    <row r="46" spans="1:7">
      <c r="G46" s="449"/>
    </row>
    <row r="47" spans="1:7">
      <c r="G47" s="449"/>
    </row>
    <row r="48" spans="1:7" ht="13.5" thickBot="1">
      <c r="A48" s="455" t="s">
        <v>743</v>
      </c>
      <c r="B48" s="455"/>
      <c r="C48" s="455"/>
      <c r="D48" s="455"/>
      <c r="E48" s="455"/>
      <c r="F48" s="455"/>
      <c r="G48" s="456">
        <f>SUM(G7:G47)</f>
        <v>0.11960000000000001</v>
      </c>
    </row>
  </sheetData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opLeftCell="A40" workbookViewId="0"/>
  </sheetViews>
  <sheetFormatPr defaultColWidth="7.109375" defaultRowHeight="12.75"/>
  <cols>
    <col min="1" max="1" width="28.88671875" style="281" customWidth="1"/>
    <col min="2" max="4" width="9.109375" style="281" customWidth="1"/>
    <col min="5" max="5" width="1.77734375" style="281" customWidth="1"/>
    <col min="6" max="16384" width="7.109375" style="281"/>
  </cols>
  <sheetData>
    <row r="1" spans="1:5" ht="15.75">
      <c r="A1" s="285"/>
    </row>
    <row r="2" spans="1:5" ht="15.75">
      <c r="A2" s="2" t="str">
        <f>+'Schedule 3'!A2</f>
        <v>STREET / CROSSWALK LIGHTING STUDY</v>
      </c>
      <c r="B2" s="286"/>
      <c r="C2" s="286"/>
      <c r="D2" s="286"/>
      <c r="E2" s="286"/>
    </row>
    <row r="3" spans="1:5" ht="15.75">
      <c r="A3" s="365" t="s">
        <v>745</v>
      </c>
      <c r="B3" s="286"/>
      <c r="C3" s="286"/>
      <c r="D3" s="286"/>
      <c r="E3" s="286"/>
    </row>
    <row r="4" spans="1:5" ht="15.75">
      <c r="A4" s="280"/>
      <c r="B4" s="286"/>
      <c r="C4" s="286"/>
      <c r="D4" s="286"/>
      <c r="E4" s="286"/>
    </row>
    <row r="6" spans="1:5">
      <c r="A6" s="287"/>
      <c r="B6" s="288" t="s">
        <v>746</v>
      </c>
      <c r="C6" s="288" t="s">
        <v>746</v>
      </c>
      <c r="D6" s="289"/>
      <c r="E6" s="290"/>
    </row>
    <row r="7" spans="1:5">
      <c r="A7" s="291"/>
      <c r="B7" s="292">
        <v>2005</v>
      </c>
      <c r="C7" s="292" t="s">
        <v>817</v>
      </c>
      <c r="D7" s="292" t="s">
        <v>747</v>
      </c>
      <c r="E7" s="293"/>
    </row>
    <row r="8" spans="1:5">
      <c r="A8" s="291"/>
      <c r="B8" s="292"/>
      <c r="C8" s="292"/>
      <c r="D8" s="292"/>
      <c r="E8" s="293"/>
    </row>
    <row r="9" spans="1:5">
      <c r="A9" s="294" t="s">
        <v>748</v>
      </c>
      <c r="B9" s="292"/>
      <c r="C9" s="292"/>
      <c r="D9" s="292"/>
      <c r="E9" s="293"/>
    </row>
    <row r="10" spans="1:5">
      <c r="A10" s="291"/>
      <c r="B10" s="282"/>
      <c r="C10" s="282"/>
      <c r="D10" s="282"/>
      <c r="E10" s="293"/>
    </row>
    <row r="11" spans="1:5">
      <c r="A11" s="295" t="s">
        <v>749</v>
      </c>
      <c r="B11" s="296">
        <v>164.47300000000001</v>
      </c>
      <c r="C11" s="296">
        <v>181.71299999999999</v>
      </c>
      <c r="D11" s="282"/>
      <c r="E11" s="293"/>
    </row>
    <row r="12" spans="1:5">
      <c r="A12" s="295" t="s">
        <v>750</v>
      </c>
      <c r="B12" s="297">
        <v>26.099</v>
      </c>
      <c r="C12" s="297">
        <v>26</v>
      </c>
      <c r="D12" s="282"/>
      <c r="E12" s="293"/>
    </row>
    <row r="13" spans="1:5">
      <c r="A13" s="299" t="s">
        <v>751</v>
      </c>
      <c r="B13" s="298">
        <v>4.532</v>
      </c>
      <c r="C13" s="298">
        <v>4.5759999999999996</v>
      </c>
      <c r="D13" s="282"/>
      <c r="E13" s="293"/>
    </row>
    <row r="14" spans="1:5">
      <c r="A14" s="299" t="s">
        <v>752</v>
      </c>
      <c r="B14" s="298">
        <v>23.422999999999998</v>
      </c>
      <c r="C14" s="298">
        <v>4.9450000000000003</v>
      </c>
      <c r="D14" s="282"/>
      <c r="E14" s="293"/>
    </row>
    <row r="15" spans="1:5">
      <c r="A15" s="299" t="s">
        <v>753</v>
      </c>
      <c r="B15" s="298">
        <v>396.46800000000002</v>
      </c>
      <c r="C15" s="298">
        <v>353.553</v>
      </c>
      <c r="D15" s="282"/>
      <c r="E15" s="293"/>
    </row>
    <row r="16" spans="1:5">
      <c r="A16" s="291"/>
      <c r="B16" s="300"/>
      <c r="C16" s="300"/>
      <c r="D16" s="282"/>
      <c r="E16" s="293"/>
    </row>
    <row r="17" spans="1:5">
      <c r="A17" s="291"/>
      <c r="B17" s="300"/>
      <c r="C17" s="300"/>
      <c r="D17" s="282"/>
      <c r="E17" s="293"/>
    </row>
    <row r="18" spans="1:5">
      <c r="A18" s="299" t="s">
        <v>754</v>
      </c>
      <c r="B18" s="298">
        <v>-76.025999999999996</v>
      </c>
      <c r="C18" s="298">
        <v>-71.918999999999997</v>
      </c>
      <c r="D18" s="282"/>
      <c r="E18" s="293"/>
    </row>
    <row r="19" spans="1:5">
      <c r="A19" s="299" t="s">
        <v>755</v>
      </c>
      <c r="B19" s="298">
        <v>-111.669</v>
      </c>
      <c r="C19" s="298">
        <v>-218.91800000000001</v>
      </c>
      <c r="D19" s="282"/>
      <c r="E19" s="293"/>
    </row>
    <row r="20" spans="1:5">
      <c r="A20" s="299" t="s">
        <v>756</v>
      </c>
      <c r="B20" s="298">
        <v>-3.2120000000000002</v>
      </c>
      <c r="C20" s="298">
        <v>-3.2123520000000001</v>
      </c>
      <c r="D20" s="282"/>
      <c r="E20" s="293"/>
    </row>
    <row r="21" spans="1:5">
      <c r="A21" s="299" t="s">
        <v>757</v>
      </c>
      <c r="B21" s="298">
        <v>0</v>
      </c>
      <c r="C21" s="298">
        <v>31.873000000000001</v>
      </c>
      <c r="D21" s="282"/>
      <c r="E21" s="293"/>
    </row>
    <row r="22" spans="1:5">
      <c r="A22" s="291"/>
      <c r="B22" s="300"/>
      <c r="C22" s="300"/>
      <c r="D22" s="282"/>
      <c r="E22" s="293"/>
    </row>
    <row r="23" spans="1:5">
      <c r="A23" s="291"/>
      <c r="B23" s="300"/>
      <c r="C23" s="300"/>
      <c r="D23" s="282"/>
      <c r="E23" s="293"/>
    </row>
    <row r="24" spans="1:5">
      <c r="A24" s="301" t="s">
        <v>758</v>
      </c>
      <c r="B24" s="302">
        <f>SUM(B11:B21)</f>
        <v>424.08800000000008</v>
      </c>
      <c r="C24" s="302">
        <f>SUM(C11:C21)</f>
        <v>308.61064800000003</v>
      </c>
      <c r="D24" s="302">
        <f>(B24+C24)/2</f>
        <v>366.34932400000002</v>
      </c>
      <c r="E24" s="293"/>
    </row>
    <row r="25" spans="1:5">
      <c r="A25" s="291"/>
      <c r="B25" s="303"/>
      <c r="C25" s="303"/>
      <c r="D25" s="282"/>
      <c r="E25" s="293"/>
    </row>
    <row r="26" spans="1:5">
      <c r="A26" s="319" t="s">
        <v>783</v>
      </c>
      <c r="B26" s="300"/>
      <c r="C26" s="282"/>
      <c r="D26" s="321">
        <f>+'Schedule 5'!E41</f>
        <v>1.184070904230076E-2</v>
      </c>
      <c r="E26" s="293"/>
    </row>
    <row r="27" spans="1:5">
      <c r="A27" s="291"/>
      <c r="B27" s="300"/>
      <c r="C27" s="282"/>
      <c r="D27" s="282"/>
      <c r="E27" s="293"/>
    </row>
    <row r="28" spans="1:5">
      <c r="A28" s="320" t="s">
        <v>784</v>
      </c>
      <c r="B28" s="300"/>
      <c r="C28" s="282"/>
      <c r="D28" s="305">
        <f>D$24*D26</f>
        <v>4.3378357533275711</v>
      </c>
      <c r="E28" s="293"/>
    </row>
    <row r="29" spans="1:5">
      <c r="A29" s="306"/>
      <c r="B29" s="283"/>
      <c r="C29" s="283"/>
      <c r="D29" s="283"/>
      <c r="E29" s="307"/>
    </row>
    <row r="31" spans="1:5">
      <c r="A31" s="287"/>
      <c r="B31" s="288" t="s">
        <v>746</v>
      </c>
      <c r="C31" s="288" t="s">
        <v>746</v>
      </c>
      <c r="D31" s="289"/>
      <c r="E31" s="290"/>
    </row>
    <row r="32" spans="1:5">
      <c r="A32" s="291"/>
      <c r="B32" s="292">
        <f>+B7</f>
        <v>2005</v>
      </c>
      <c r="C32" s="292" t="str">
        <f>+C7</f>
        <v>2006C</v>
      </c>
      <c r="D32" s="292" t="s">
        <v>747</v>
      </c>
      <c r="E32" s="293"/>
    </row>
    <row r="33" spans="1:5">
      <c r="A33" s="291"/>
      <c r="B33" s="292"/>
      <c r="C33" s="292"/>
      <c r="D33" s="292"/>
      <c r="E33" s="293"/>
    </row>
    <row r="34" spans="1:5">
      <c r="A34" s="308" t="s">
        <v>778</v>
      </c>
      <c r="B34" s="282"/>
      <c r="C34" s="282"/>
      <c r="D34" s="282"/>
      <c r="E34" s="293"/>
    </row>
    <row r="35" spans="1:5">
      <c r="A35" s="291"/>
      <c r="B35" s="282"/>
      <c r="C35" s="282"/>
      <c r="D35" s="282"/>
      <c r="E35" s="293"/>
    </row>
    <row r="36" spans="1:5">
      <c r="A36" s="291" t="s">
        <v>759</v>
      </c>
      <c r="B36" s="300">
        <f>1686.35</f>
        <v>1686.35</v>
      </c>
      <c r="C36" s="300">
        <v>1741.6949999999999</v>
      </c>
      <c r="D36" s="282"/>
      <c r="E36" s="293"/>
    </row>
    <row r="37" spans="1:5">
      <c r="A37" s="304" t="s">
        <v>760</v>
      </c>
      <c r="B37" s="300">
        <f>369.963</f>
        <v>369.96300000000002</v>
      </c>
      <c r="C37" s="300">
        <v>385.02499999999998</v>
      </c>
      <c r="D37" s="282"/>
      <c r="E37" s="293"/>
    </row>
    <row r="38" spans="1:5">
      <c r="A38" s="304" t="s">
        <v>761</v>
      </c>
      <c r="B38" s="300">
        <f>1.992</f>
        <v>1.992</v>
      </c>
      <c r="C38" s="300">
        <v>1.992</v>
      </c>
      <c r="D38" s="282"/>
      <c r="E38" s="293"/>
    </row>
    <row r="39" spans="1:5">
      <c r="A39" s="304" t="s">
        <v>762</v>
      </c>
      <c r="B39" s="300">
        <v>31.106999999999999</v>
      </c>
      <c r="C39" s="300">
        <v>33.061999999999998</v>
      </c>
      <c r="D39" s="282"/>
      <c r="E39" s="293"/>
    </row>
    <row r="40" spans="1:5">
      <c r="A40" s="291" t="s">
        <v>763</v>
      </c>
      <c r="B40" s="300">
        <v>71.447000000000003</v>
      </c>
      <c r="C40" s="309">
        <v>74.212999999999994</v>
      </c>
      <c r="D40" s="282"/>
      <c r="E40" s="293"/>
    </row>
    <row r="41" spans="1:5">
      <c r="A41" s="291" t="s">
        <v>764</v>
      </c>
      <c r="B41" s="300">
        <v>576.22400000000005</v>
      </c>
      <c r="C41" s="309">
        <v>580.75599999999997</v>
      </c>
      <c r="D41" s="282"/>
      <c r="E41" s="293"/>
    </row>
    <row r="42" spans="1:5">
      <c r="A42" s="304" t="s">
        <v>765</v>
      </c>
      <c r="B42" s="300">
        <v>1009.753</v>
      </c>
      <c r="C42" s="309">
        <v>1048.383</v>
      </c>
      <c r="D42" s="300">
        <f>(B42+C42)/2</f>
        <v>1029.068</v>
      </c>
      <c r="E42" s="293"/>
    </row>
    <row r="43" spans="1:5">
      <c r="A43" s="310" t="s">
        <v>782</v>
      </c>
      <c r="B43" s="311">
        <v>44.834000000000003</v>
      </c>
      <c r="C43" s="311">
        <v>47.722999999999999</v>
      </c>
      <c r="D43" s="311">
        <f>(B43+C43)/2</f>
        <v>46.278500000000001</v>
      </c>
      <c r="E43" s="293"/>
    </row>
    <row r="44" spans="1:5">
      <c r="A44" s="304" t="s">
        <v>766</v>
      </c>
      <c r="B44" s="312">
        <v>269.411</v>
      </c>
      <c r="C44" s="313">
        <f>304.337-7.93-0.966</f>
        <v>295.44099999999997</v>
      </c>
      <c r="D44" s="314">
        <f>(B44+C44)/2</f>
        <v>282.42599999999999</v>
      </c>
      <c r="E44" s="293"/>
    </row>
    <row r="45" spans="1:5">
      <c r="A45" s="304"/>
      <c r="B45" s="312"/>
      <c r="C45" s="313"/>
      <c r="D45" s="313"/>
      <c r="E45" s="293"/>
    </row>
    <row r="46" spans="1:5">
      <c r="A46" s="319" t="s">
        <v>785</v>
      </c>
      <c r="B46" s="300"/>
      <c r="C46" s="300"/>
      <c r="D46" s="315">
        <f>ROUND(+D43/D42,3)</f>
        <v>4.4999999999999998E-2</v>
      </c>
      <c r="E46" s="293"/>
    </row>
    <row r="47" spans="1:5">
      <c r="A47" s="291"/>
      <c r="B47" s="300"/>
      <c r="C47" s="300"/>
      <c r="D47" s="316"/>
      <c r="E47" s="293"/>
    </row>
    <row r="48" spans="1:5">
      <c r="A48" s="291" t="s">
        <v>767</v>
      </c>
      <c r="B48" s="300">
        <f>SUM(B36:B44)-B43</f>
        <v>4016.2470000000008</v>
      </c>
      <c r="C48" s="300">
        <f>SUM(C36:C44)-C43</f>
        <v>4160.567</v>
      </c>
      <c r="D48" s="300">
        <f>(B48+C48)/2</f>
        <v>4088.4070000000002</v>
      </c>
      <c r="E48" s="293"/>
    </row>
    <row r="49" spans="1:5">
      <c r="A49" s="291"/>
      <c r="B49" s="282"/>
      <c r="C49" s="282"/>
      <c r="D49" s="282"/>
      <c r="E49" s="293"/>
    </row>
    <row r="50" spans="1:5">
      <c r="A50" s="319" t="s">
        <v>786</v>
      </c>
      <c r="B50" s="282"/>
      <c r="C50" s="282"/>
      <c r="D50" s="321">
        <f>+D43/(D48-D44)</f>
        <v>1.215941435335594E-2</v>
      </c>
      <c r="E50" s="293"/>
    </row>
    <row r="51" spans="1:5">
      <c r="A51" s="291"/>
      <c r="B51" s="282"/>
      <c r="C51" s="282"/>
      <c r="D51" s="282"/>
      <c r="E51" s="293"/>
    </row>
    <row r="52" spans="1:5">
      <c r="A52" s="320" t="s">
        <v>784</v>
      </c>
      <c r="B52" s="282"/>
      <c r="C52" s="282"/>
      <c r="D52" s="305">
        <f>D$24*D50</f>
        <v>4.4545932285878465</v>
      </c>
      <c r="E52" s="293"/>
    </row>
    <row r="53" spans="1:5">
      <c r="A53" s="291"/>
      <c r="B53" s="282"/>
      <c r="C53" s="282"/>
      <c r="D53" s="282"/>
      <c r="E53" s="293"/>
    </row>
    <row r="54" spans="1:5">
      <c r="A54" s="291" t="s">
        <v>768</v>
      </c>
      <c r="B54" s="300">
        <v>1052.885</v>
      </c>
      <c r="C54" s="300">
        <v>1056.4269999999999</v>
      </c>
      <c r="D54" s="300"/>
      <c r="E54" s="293"/>
    </row>
    <row r="55" spans="1:5">
      <c r="A55" s="304" t="s">
        <v>769</v>
      </c>
      <c r="B55" s="300">
        <v>247.215</v>
      </c>
      <c r="C55" s="300">
        <v>257.27300000000002</v>
      </c>
      <c r="D55" s="300"/>
      <c r="E55" s="293"/>
    </row>
    <row r="56" spans="1:5">
      <c r="A56" s="304" t="s">
        <v>770</v>
      </c>
      <c r="B56" s="300">
        <v>1.66</v>
      </c>
      <c r="C56" s="300">
        <v>1.5609999999999999</v>
      </c>
      <c r="D56" s="300"/>
      <c r="E56" s="293"/>
    </row>
    <row r="57" spans="1:5">
      <c r="A57" s="304" t="s">
        <v>771</v>
      </c>
      <c r="B57" s="300">
        <v>9.6440000000000001</v>
      </c>
      <c r="C57" s="300">
        <v>10.776999999999999</v>
      </c>
      <c r="D57" s="300"/>
      <c r="E57" s="293"/>
    </row>
    <row r="58" spans="1:5">
      <c r="A58" s="291" t="s">
        <v>772</v>
      </c>
      <c r="B58" s="300">
        <v>66.040999999999997</v>
      </c>
      <c r="C58" s="300">
        <v>66.230999999999995</v>
      </c>
      <c r="D58" s="300"/>
      <c r="E58" s="293"/>
    </row>
    <row r="59" spans="1:5">
      <c r="A59" s="291" t="s">
        <v>773</v>
      </c>
      <c r="B59" s="300">
        <v>295.3</v>
      </c>
      <c r="C59" s="300">
        <v>289.38400000000001</v>
      </c>
      <c r="D59" s="300"/>
      <c r="E59" s="293"/>
    </row>
    <row r="60" spans="1:5">
      <c r="A60" s="304" t="s">
        <v>774</v>
      </c>
      <c r="B60" s="300">
        <v>517.96</v>
      </c>
      <c r="C60" s="300">
        <v>512.59900000000005</v>
      </c>
      <c r="D60" s="300">
        <f>(B60+C60)/2</f>
        <v>515.2795000000001</v>
      </c>
      <c r="E60" s="293"/>
    </row>
    <row r="61" spans="1:5">
      <c r="A61" s="319" t="s">
        <v>779</v>
      </c>
      <c r="B61" s="317">
        <v>26.039000000000001</v>
      </c>
      <c r="C61" s="317">
        <v>25.882000000000001</v>
      </c>
      <c r="D61" s="317">
        <f>(B61+C61)/2</f>
        <v>25.960500000000003</v>
      </c>
      <c r="E61" s="293"/>
    </row>
    <row r="62" spans="1:5">
      <c r="A62" s="304" t="s">
        <v>775</v>
      </c>
      <c r="B62" s="312">
        <v>168.71</v>
      </c>
      <c r="C62" s="312">
        <v>170.41900000000001</v>
      </c>
      <c r="D62" s="300">
        <f>(B62+C62)/2</f>
        <v>169.56450000000001</v>
      </c>
      <c r="E62" s="293"/>
    </row>
    <row r="63" spans="1:5">
      <c r="A63" s="291"/>
      <c r="B63" s="300"/>
      <c r="C63" s="300"/>
      <c r="D63" s="300"/>
      <c r="E63" s="293"/>
    </row>
    <row r="64" spans="1:5">
      <c r="A64" s="291" t="s">
        <v>776</v>
      </c>
      <c r="B64" s="300">
        <f>SUM(B54:B60)+B62</f>
        <v>2359.415</v>
      </c>
      <c r="C64" s="300">
        <f>SUM(C54:C60)+C62</f>
        <v>2364.6709999999998</v>
      </c>
      <c r="D64" s="300">
        <f>(B64+C64)/2</f>
        <v>2362.0429999999997</v>
      </c>
      <c r="E64" s="293"/>
    </row>
    <row r="65" spans="1:5">
      <c r="A65" s="291"/>
      <c r="B65" s="282"/>
      <c r="C65" s="282"/>
      <c r="D65" s="282"/>
      <c r="E65" s="293"/>
    </row>
    <row r="66" spans="1:5">
      <c r="A66" s="319" t="s">
        <v>786</v>
      </c>
      <c r="B66" s="284">
        <f>B61/(B64-B62)</f>
        <v>1.1886127981631484E-2</v>
      </c>
      <c r="C66" s="284">
        <f>C61/(C64-C62)</f>
        <v>1.1795363522512457E-2</v>
      </c>
      <c r="D66" s="321">
        <f>D61/(D64-D62)</f>
        <v>1.184070904230076E-2</v>
      </c>
      <c r="E66" s="293"/>
    </row>
    <row r="67" spans="1:5">
      <c r="A67" s="306"/>
      <c r="B67" s="283"/>
      <c r="C67" s="283"/>
      <c r="D67" s="283"/>
      <c r="E67" s="307"/>
    </row>
  </sheetData>
  <phoneticPr fontId="20" type="noConversion"/>
  <printOptions horizontalCentered="1"/>
  <pageMargins left="0.74803149606299213" right="0.74803149606299213" top="0.98425196850393704" bottom="0.98425196850393704" header="0.51181102362204722" footer="0.51181102362204722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49" workbookViewId="0"/>
  </sheetViews>
  <sheetFormatPr defaultColWidth="7.109375" defaultRowHeight="12.75"/>
  <cols>
    <col min="1" max="1" width="32.21875" style="43" customWidth="1"/>
    <col min="2" max="2" width="9.5546875" style="43" customWidth="1"/>
    <col min="3" max="7" width="8.33203125" style="43" customWidth="1"/>
    <col min="8" max="8" width="9.6640625" style="43" customWidth="1"/>
    <col min="9" max="9" width="8.33203125" style="43" customWidth="1"/>
    <col min="10" max="16384" width="7.109375" style="43"/>
  </cols>
  <sheetData>
    <row r="1" spans="1:9">
      <c r="I1" s="344" t="s">
        <v>801</v>
      </c>
    </row>
    <row r="2" spans="1:9" ht="15.75">
      <c r="A2" s="2"/>
    </row>
    <row r="3" spans="1:9" ht="15.75">
      <c r="A3" s="2" t="str">
        <f>+'Schedule 3'!A2</f>
        <v>STREET / CROSSWALK LIGHTING STUDY</v>
      </c>
      <c r="B3" s="345"/>
      <c r="C3" s="345"/>
      <c r="D3" s="345"/>
      <c r="E3" s="345"/>
      <c r="F3" s="345"/>
      <c r="G3" s="345"/>
      <c r="H3" s="345"/>
      <c r="I3" s="345"/>
    </row>
    <row r="4" spans="1:9" ht="15.75">
      <c r="A4" s="346" t="s">
        <v>629</v>
      </c>
      <c r="B4" s="345"/>
      <c r="C4" s="345"/>
      <c r="D4" s="345"/>
      <c r="E4" s="345"/>
      <c r="F4" s="345"/>
      <c r="G4" s="345"/>
      <c r="H4" s="345"/>
      <c r="I4" s="345"/>
    </row>
    <row r="5" spans="1:9" ht="15.75">
      <c r="A5" s="347" t="s">
        <v>628</v>
      </c>
      <c r="B5" s="345"/>
      <c r="C5" s="345"/>
      <c r="D5" s="345"/>
      <c r="E5" s="345"/>
      <c r="F5" s="345"/>
      <c r="G5" s="345"/>
      <c r="H5" s="345"/>
      <c r="I5" s="345"/>
    </row>
    <row r="7" spans="1:9">
      <c r="A7" s="42" t="s">
        <v>112</v>
      </c>
      <c r="B7" s="42" t="s">
        <v>113</v>
      </c>
      <c r="C7" s="42" t="s">
        <v>107</v>
      </c>
      <c r="D7" s="42" t="s">
        <v>114</v>
      </c>
      <c r="E7" s="42" t="s">
        <v>60</v>
      </c>
      <c r="F7" s="42" t="s">
        <v>108</v>
      </c>
      <c r="G7" s="42" t="s">
        <v>61</v>
      </c>
      <c r="H7" s="42" t="s">
        <v>109</v>
      </c>
      <c r="I7" s="42" t="s">
        <v>115</v>
      </c>
    </row>
    <row r="8" spans="1:9">
      <c r="A8" s="44" t="s">
        <v>116</v>
      </c>
      <c r="B8" s="44" t="s">
        <v>51</v>
      </c>
      <c r="C8" s="44"/>
      <c r="D8" s="44"/>
      <c r="E8" s="44"/>
      <c r="F8" s="44"/>
      <c r="G8" s="44"/>
      <c r="H8" s="44"/>
      <c r="I8" s="44"/>
    </row>
    <row r="9" spans="1:9">
      <c r="A9" s="340" t="s">
        <v>10</v>
      </c>
      <c r="B9" s="341">
        <v>51.36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</row>
    <row r="10" spans="1:9">
      <c r="A10" s="340" t="s">
        <v>11</v>
      </c>
      <c r="B10" s="341">
        <v>63.62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</row>
    <row r="11" spans="1:9">
      <c r="A11" s="46" t="s">
        <v>12</v>
      </c>
      <c r="B11" s="45">
        <f t="shared" ref="B11:B18" si="0">SUM(C11:I11)</f>
        <v>206.8228</v>
      </c>
      <c r="C11" s="45">
        <v>122.41</v>
      </c>
      <c r="D11" s="45">
        <f>+'Schedule 7'!C16</f>
        <v>15.987</v>
      </c>
      <c r="E11" s="45">
        <f>+'Schedule 7'!C$106</f>
        <v>7.84</v>
      </c>
      <c r="F11" s="45">
        <f>+'Schedule 7'!C$43</f>
        <v>46.444700000000005</v>
      </c>
      <c r="G11" s="45">
        <f>+'Schedule 7'!C$36+(12*'Schedule 7'!C$143)</f>
        <v>11.801200000000001</v>
      </c>
      <c r="H11" s="45">
        <f>+'Schedule 7'!C$39*2</f>
        <v>0.88</v>
      </c>
      <c r="I11" s="45">
        <f>+'Schedule 7'!C$37+'Schedule 7'!C$38</f>
        <v>1.4599000000000002</v>
      </c>
    </row>
    <row r="12" spans="1:9">
      <c r="A12" s="46" t="s">
        <v>13</v>
      </c>
      <c r="B12" s="45">
        <f t="shared" si="0"/>
        <v>182.04580000000001</v>
      </c>
      <c r="C12" s="45">
        <v>102.95</v>
      </c>
      <c r="D12" s="45">
        <f>+'Schedule 7'!C17</f>
        <v>10.67</v>
      </c>
      <c r="E12" s="45">
        <f>+'Schedule 7'!C$106</f>
        <v>7.84</v>
      </c>
      <c r="F12" s="45">
        <f>+'Schedule 7'!C$43</f>
        <v>46.444700000000005</v>
      </c>
      <c r="G12" s="45">
        <f>+'Schedule 7'!C$36+(12*'Schedule 7'!C$143)</f>
        <v>11.801200000000001</v>
      </c>
      <c r="H12" s="45">
        <f>+'Schedule 7'!C$39*2</f>
        <v>0.88</v>
      </c>
      <c r="I12" s="45">
        <f>+'Schedule 7'!C$37+'Schedule 7'!C$38</f>
        <v>1.4599000000000002</v>
      </c>
    </row>
    <row r="13" spans="1:9">
      <c r="A13" s="46" t="s">
        <v>14</v>
      </c>
      <c r="B13" s="45">
        <f t="shared" si="0"/>
        <v>178.54580000000001</v>
      </c>
      <c r="C13" s="45">
        <v>102.95</v>
      </c>
      <c r="D13" s="45">
        <f>+'Schedule 7'!C18</f>
        <v>7.17</v>
      </c>
      <c r="E13" s="45">
        <f>+'Schedule 7'!C$106</f>
        <v>7.84</v>
      </c>
      <c r="F13" s="45">
        <f>+'Schedule 7'!C$43</f>
        <v>46.444700000000005</v>
      </c>
      <c r="G13" s="45">
        <f>+'Schedule 7'!C$36+(12*'Schedule 7'!C$143)</f>
        <v>11.801200000000001</v>
      </c>
      <c r="H13" s="45">
        <f>+'Schedule 7'!C$39*2</f>
        <v>0.88</v>
      </c>
      <c r="I13" s="45">
        <f>+'Schedule 7'!C$37+'Schedule 7'!C$38</f>
        <v>1.4599000000000002</v>
      </c>
    </row>
    <row r="14" spans="1:9">
      <c r="A14" s="46" t="s">
        <v>15</v>
      </c>
      <c r="B14" s="45">
        <f t="shared" si="0"/>
        <v>276.89109999999999</v>
      </c>
      <c r="C14" s="45">
        <v>189.8</v>
      </c>
      <c r="D14" s="45">
        <f>+'Schedule 7'!C19</f>
        <v>7.86</v>
      </c>
      <c r="E14" s="45">
        <f>+'Schedule 7'!C$106</f>
        <v>7.84</v>
      </c>
      <c r="F14" s="45">
        <f>+'Schedule 7'!C$48</f>
        <v>57.25</v>
      </c>
      <c r="G14" s="45">
        <f>+'Schedule 7'!C$36+(12*'Schedule 7'!C$143)</f>
        <v>11.801200000000001</v>
      </c>
      <c r="H14" s="45">
        <f>+'Schedule 7'!C$39*2</f>
        <v>0.88</v>
      </c>
      <c r="I14" s="45">
        <f>+'Schedule 7'!C$37+'Schedule 7'!C$38</f>
        <v>1.4599000000000002</v>
      </c>
    </row>
    <row r="15" spans="1:9">
      <c r="A15" s="46" t="s">
        <v>16</v>
      </c>
      <c r="B15" s="45">
        <f t="shared" si="0"/>
        <v>286.96109999999999</v>
      </c>
      <c r="C15" s="45">
        <v>198.75</v>
      </c>
      <c r="D15" s="45">
        <f>+'Schedule 7'!C20</f>
        <v>8.98</v>
      </c>
      <c r="E15" s="45">
        <f>+'Schedule 7'!C$106</f>
        <v>7.84</v>
      </c>
      <c r="F15" s="45">
        <f>+'Schedule 7'!C$48</f>
        <v>57.25</v>
      </c>
      <c r="G15" s="45">
        <f>+'Schedule 7'!C$36+(12*'Schedule 7'!C$143)</f>
        <v>11.801200000000001</v>
      </c>
      <c r="H15" s="45">
        <f>+'Schedule 7'!C$39*2</f>
        <v>0.88</v>
      </c>
      <c r="I15" s="45">
        <f>+'Schedule 7'!C$37+'Schedule 7'!C$38</f>
        <v>1.4599000000000002</v>
      </c>
    </row>
    <row r="16" spans="1:9">
      <c r="A16" s="46" t="s">
        <v>17</v>
      </c>
      <c r="B16" s="45">
        <f t="shared" si="0"/>
        <v>435.2971</v>
      </c>
      <c r="C16" s="45">
        <v>318.97000000000003</v>
      </c>
      <c r="D16" s="45">
        <f>+'Schedule 7'!C21</f>
        <v>37.095999999999997</v>
      </c>
      <c r="E16" s="45">
        <f>+'Schedule 7'!C$106</f>
        <v>7.84</v>
      </c>
      <c r="F16" s="45">
        <f>+'Schedule 7'!C$48</f>
        <v>57.25</v>
      </c>
      <c r="G16" s="45">
        <f>+'Schedule 7'!C$36+(12*'Schedule 7'!C$143)</f>
        <v>11.801200000000001</v>
      </c>
      <c r="H16" s="45">
        <f>+'Schedule 7'!C$39*2</f>
        <v>0.88</v>
      </c>
      <c r="I16" s="45">
        <f>+'Schedule 7'!C$37+'Schedule 7'!C$38</f>
        <v>1.4599000000000002</v>
      </c>
    </row>
    <row r="17" spans="1:9">
      <c r="A17" s="46" t="s">
        <v>18</v>
      </c>
      <c r="B17" s="45">
        <f t="shared" si="0"/>
        <v>559.52109999999993</v>
      </c>
      <c r="C17" s="45">
        <v>439.19</v>
      </c>
      <c r="D17" s="45">
        <f>+'Schedule 7'!C22</f>
        <v>41.1</v>
      </c>
      <c r="E17" s="45">
        <f>+'Schedule 7'!C$106</f>
        <v>7.84</v>
      </c>
      <c r="F17" s="45">
        <f>+'Schedule 7'!C$48</f>
        <v>57.25</v>
      </c>
      <c r="G17" s="45">
        <f>+'Schedule 7'!C$36+(12*'Schedule 7'!C$143)</f>
        <v>11.801200000000001</v>
      </c>
      <c r="H17" s="45">
        <f>+'Schedule 7'!C$39*2</f>
        <v>0.88</v>
      </c>
      <c r="I17" s="45">
        <f>+'Schedule 7'!C$37+'Schedule 7'!C$38</f>
        <v>1.4599000000000002</v>
      </c>
    </row>
    <row r="18" spans="1:9">
      <c r="A18" s="46" t="s">
        <v>19</v>
      </c>
      <c r="B18" s="45">
        <f t="shared" si="0"/>
        <v>276.89109999999999</v>
      </c>
      <c r="C18" s="45">
        <v>189.8</v>
      </c>
      <c r="D18" s="45">
        <f>+'Schedule 7'!C19</f>
        <v>7.86</v>
      </c>
      <c r="E18" s="45">
        <f>+'Schedule 7'!C$106</f>
        <v>7.84</v>
      </c>
      <c r="F18" s="45">
        <f>+'Schedule 7'!C$48</f>
        <v>57.25</v>
      </c>
      <c r="G18" s="45">
        <f>+'Schedule 7'!C$36+(12*'Schedule 7'!C$143)</f>
        <v>11.801200000000001</v>
      </c>
      <c r="H18" s="45">
        <f>+'Schedule 7'!C$39*2</f>
        <v>0.88</v>
      </c>
      <c r="I18" s="45">
        <f>+'Schedule 7'!C$37+'Schedule 7'!C$38</f>
        <v>1.4599000000000002</v>
      </c>
    </row>
    <row r="19" spans="1:9">
      <c r="A19" s="340" t="s">
        <v>20</v>
      </c>
      <c r="B19" s="341">
        <v>106.44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</row>
    <row r="20" spans="1:9">
      <c r="A20" s="340" t="s">
        <v>21</v>
      </c>
      <c r="B20" s="341">
        <v>131.91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</row>
    <row r="21" spans="1:9">
      <c r="A21" s="340" t="s">
        <v>22</v>
      </c>
      <c r="B21" s="341">
        <v>178.72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</row>
    <row r="22" spans="1:9">
      <c r="A22" s="340" t="s">
        <v>23</v>
      </c>
      <c r="B22" s="341">
        <v>293.72000000000003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</row>
    <row r="23" spans="1:9">
      <c r="A23" s="340" t="s">
        <v>24</v>
      </c>
      <c r="B23" s="341">
        <v>160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</row>
    <row r="24" spans="1:9">
      <c r="A24" s="340" t="s">
        <v>25</v>
      </c>
      <c r="B24" s="341">
        <v>121.22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</row>
    <row r="25" spans="1:9">
      <c r="A25" s="340" t="s">
        <v>26</v>
      </c>
      <c r="B25" s="341">
        <v>188.91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</row>
    <row r="26" spans="1:9">
      <c r="A26" s="342" t="s">
        <v>135</v>
      </c>
      <c r="B26" s="45">
        <f t="shared" ref="B26:B36" si="1">SUM(C26:I26)</f>
        <v>177.00389999999999</v>
      </c>
      <c r="C26" s="45">
        <f>+'Schedule 7'!C88</f>
        <v>107.79809999999999</v>
      </c>
      <c r="D26" s="45">
        <f>+'Schedule 7'!C23</f>
        <v>8.6199999999999992</v>
      </c>
      <c r="E26" s="45">
        <v>0</v>
      </c>
      <c r="F26" s="45">
        <f>+'Schedule 7'!C$43</f>
        <v>46.444700000000005</v>
      </c>
      <c r="G26" s="45">
        <f>+'Schedule 7'!C$36+(12*+'Schedule 7'!C$143)</f>
        <v>11.801200000000001</v>
      </c>
      <c r="H26" s="45">
        <f>+'Schedule 7'!C$39*2</f>
        <v>0.88</v>
      </c>
      <c r="I26" s="45">
        <f>+'Schedule 7'!C$37++'Schedule 7'!C$38</f>
        <v>1.4599000000000002</v>
      </c>
    </row>
    <row r="27" spans="1:9">
      <c r="A27" s="342" t="s">
        <v>142</v>
      </c>
      <c r="B27" s="45">
        <f t="shared" si="1"/>
        <v>169.16579999999999</v>
      </c>
      <c r="C27" s="45">
        <f>+'Schedule 7'!C66</f>
        <v>100.21</v>
      </c>
      <c r="D27" s="45">
        <f>+'Schedule 7'!C24</f>
        <v>8.3699999999999992</v>
      </c>
      <c r="E27" s="45">
        <v>0</v>
      </c>
      <c r="F27" s="45">
        <f>+'Schedule 7'!C$43</f>
        <v>46.444700000000005</v>
      </c>
      <c r="G27" s="45">
        <f>+'Schedule 7'!C$36+(12*+'Schedule 7'!C$143)</f>
        <v>11.801200000000001</v>
      </c>
      <c r="H27" s="45">
        <f>+'Schedule 7'!C$39*2</f>
        <v>0.88</v>
      </c>
      <c r="I27" s="45">
        <f>+'Schedule 7'!C$37++'Schedule 7'!C$38</f>
        <v>1.4599000000000002</v>
      </c>
    </row>
    <row r="28" spans="1:9">
      <c r="A28" s="342" t="s">
        <v>790</v>
      </c>
      <c r="B28" s="45">
        <f t="shared" si="1"/>
        <v>172.20580000000001</v>
      </c>
      <c r="C28" s="45">
        <f>+'Schedule 7'!C76</f>
        <v>102.95</v>
      </c>
      <c r="D28" s="45">
        <f>+'Schedule 7'!C27</f>
        <v>8.67</v>
      </c>
      <c r="E28" s="45">
        <v>0</v>
      </c>
      <c r="F28" s="45">
        <f>+'Schedule 7'!C$43</f>
        <v>46.444700000000005</v>
      </c>
      <c r="G28" s="45">
        <f>+'Schedule 7'!C$36+(12*+'Schedule 7'!C$143)</f>
        <v>11.801200000000001</v>
      </c>
      <c r="H28" s="45">
        <f>+'Schedule 7'!C$39*2</f>
        <v>0.88</v>
      </c>
      <c r="I28" s="45">
        <f>+'Schedule 7'!C$37++'Schedule 7'!C$38</f>
        <v>1.4599000000000002</v>
      </c>
    </row>
    <row r="29" spans="1:9">
      <c r="A29" s="46" t="s">
        <v>618</v>
      </c>
      <c r="B29" s="45">
        <f t="shared" si="1"/>
        <v>223.05109999999999</v>
      </c>
      <c r="C29" s="45">
        <f>+'Schedule 7'!C77</f>
        <v>142.47999999999999</v>
      </c>
      <c r="D29" s="45">
        <f>+'Schedule 7'!C29</f>
        <v>9.18</v>
      </c>
      <c r="E29" s="45">
        <v>0</v>
      </c>
      <c r="F29" s="45">
        <f>+'Schedule 7'!C$48</f>
        <v>57.25</v>
      </c>
      <c r="G29" s="45">
        <f>+'Schedule 7'!C$36+(12*+'Schedule 7'!C$143)</f>
        <v>11.801200000000001</v>
      </c>
      <c r="H29" s="45">
        <f>+'Schedule 7'!C$39*2</f>
        <v>0.88</v>
      </c>
      <c r="I29" s="45">
        <f>+'Schedule 7'!C$37++'Schedule 7'!C$38</f>
        <v>1.4599000000000002</v>
      </c>
    </row>
    <row r="30" spans="1:9">
      <c r="A30" s="46" t="s">
        <v>619</v>
      </c>
      <c r="B30" s="45">
        <f t="shared" si="1"/>
        <v>238.12110000000001</v>
      </c>
      <c r="C30" s="45">
        <f>+'Schedule 7'!C80</f>
        <v>156.93</v>
      </c>
      <c r="D30" s="45">
        <f>+'Schedule 7'!C30</f>
        <v>9.8000000000000007</v>
      </c>
      <c r="E30" s="45">
        <v>0</v>
      </c>
      <c r="F30" s="45">
        <f>+'Schedule 7'!C$48</f>
        <v>57.25</v>
      </c>
      <c r="G30" s="45">
        <f>+'Schedule 7'!C$36+(12*+'Schedule 7'!C$143)</f>
        <v>11.801200000000001</v>
      </c>
      <c r="H30" s="45">
        <f>+'Schedule 7'!C$39*2</f>
        <v>0.88</v>
      </c>
      <c r="I30" s="45">
        <f>+'Schedule 7'!C$37++'Schedule 7'!C$38</f>
        <v>1.4599000000000002</v>
      </c>
    </row>
    <row r="31" spans="1:9">
      <c r="A31" s="342" t="s">
        <v>791</v>
      </c>
      <c r="B31" s="45">
        <f t="shared" si="1"/>
        <v>575.80579999999998</v>
      </c>
      <c r="C31" s="45">
        <f>+'Schedule 7'!C53</f>
        <v>463.38</v>
      </c>
      <c r="D31" s="45">
        <f>+'Schedule 7'!C25</f>
        <v>44</v>
      </c>
      <c r="E31" s="45">
        <f>+'Schedule 7'!C$106</f>
        <v>7.84</v>
      </c>
      <c r="F31" s="45">
        <f>+'Schedule 7'!C$43</f>
        <v>46.444700000000005</v>
      </c>
      <c r="G31" s="45">
        <f>+'Schedule 7'!C$36+(12*+'Schedule 7'!C$143)</f>
        <v>11.801200000000001</v>
      </c>
      <c r="H31" s="45">
        <f>+'Schedule 7'!C$39*2</f>
        <v>0.88</v>
      </c>
      <c r="I31" s="45">
        <f>+'Schedule 7'!C$37++'Schedule 7'!C$38</f>
        <v>1.4599000000000002</v>
      </c>
    </row>
    <row r="32" spans="1:9">
      <c r="A32" s="46" t="s">
        <v>29</v>
      </c>
      <c r="B32" s="45">
        <f t="shared" si="1"/>
        <v>575.80579999999998</v>
      </c>
      <c r="C32" s="45">
        <f>+'Schedule 7'!C53</f>
        <v>463.38</v>
      </c>
      <c r="D32" s="45">
        <f>+'Schedule 7'!C25</f>
        <v>44</v>
      </c>
      <c r="E32" s="45">
        <f>+'Schedule 7'!C$106</f>
        <v>7.84</v>
      </c>
      <c r="F32" s="45">
        <f>+'Schedule 7'!C$43</f>
        <v>46.444700000000005</v>
      </c>
      <c r="G32" s="45">
        <f>+'Schedule 7'!C$36+(12*+'Schedule 7'!C$143)</f>
        <v>11.801200000000001</v>
      </c>
      <c r="H32" s="45">
        <f>+'Schedule 7'!C$39*2</f>
        <v>0.88</v>
      </c>
      <c r="I32" s="45">
        <f>+'Schedule 7'!C$37++'Schedule 7'!C$38</f>
        <v>1.4599000000000002</v>
      </c>
    </row>
    <row r="33" spans="1:9">
      <c r="A33" s="46" t="s">
        <v>30</v>
      </c>
      <c r="B33" s="45">
        <f t="shared" si="1"/>
        <v>685.26580000000001</v>
      </c>
      <c r="C33" s="45">
        <f>+'Schedule 7'!C54</f>
        <v>562.07000000000005</v>
      </c>
      <c r="D33" s="45">
        <f>+'Schedule 7'!C28</f>
        <v>54.77</v>
      </c>
      <c r="E33" s="45">
        <f>+'Schedule 7'!C$106</f>
        <v>7.84</v>
      </c>
      <c r="F33" s="45">
        <f>+'Schedule 7'!C$43</f>
        <v>46.444700000000005</v>
      </c>
      <c r="G33" s="45">
        <f>+'Schedule 7'!C$36+(12*+'Schedule 7'!C$143)</f>
        <v>11.801200000000001</v>
      </c>
      <c r="H33" s="45">
        <f>+'Schedule 7'!C$39*2</f>
        <v>0.88</v>
      </c>
      <c r="I33" s="45">
        <f>+'Schedule 7'!C$37++'Schedule 7'!C$38</f>
        <v>1.4599000000000002</v>
      </c>
    </row>
    <row r="34" spans="1:9">
      <c r="A34" s="343" t="s">
        <v>118</v>
      </c>
      <c r="B34" s="45">
        <f t="shared" si="1"/>
        <v>419.69110000000001</v>
      </c>
      <c r="C34" s="45">
        <f>+'Schedule 7'!C99</f>
        <v>329.47</v>
      </c>
      <c r="D34" s="45">
        <f>+'Schedule 7'!C32</f>
        <v>18.829999999999998</v>
      </c>
      <c r="E34" s="45">
        <v>0</v>
      </c>
      <c r="F34" s="45">
        <f>+'Schedule 7'!C$48</f>
        <v>57.25</v>
      </c>
      <c r="G34" s="45">
        <f>+'Schedule 7'!C$36+(12*+'Schedule 7'!C$143)</f>
        <v>11.801200000000001</v>
      </c>
      <c r="H34" s="45">
        <f>+'Schedule 7'!C$39*2</f>
        <v>0.88</v>
      </c>
      <c r="I34" s="45">
        <f>+'Schedule 7'!C$37++'Schedule 7'!C$38</f>
        <v>1.4599000000000002</v>
      </c>
    </row>
    <row r="35" spans="1:9">
      <c r="A35" s="46" t="s">
        <v>31</v>
      </c>
      <c r="B35" s="45">
        <f t="shared" si="1"/>
        <v>279.83109999999999</v>
      </c>
      <c r="C35" s="45">
        <f>+'Schedule 7'!C100</f>
        <v>198.64</v>
      </c>
      <c r="D35" s="45">
        <f>+'Schedule 7'!C30</f>
        <v>9.8000000000000007</v>
      </c>
      <c r="E35" s="45">
        <v>0</v>
      </c>
      <c r="F35" s="45">
        <f>+'Schedule 7'!C$48</f>
        <v>57.25</v>
      </c>
      <c r="G35" s="45">
        <f>+'Schedule 7'!C$36+(12*+'Schedule 7'!C$143)</f>
        <v>11.801200000000001</v>
      </c>
      <c r="H35" s="45">
        <f>+'Schedule 7'!C$39*2</f>
        <v>0.88</v>
      </c>
      <c r="I35" s="45">
        <f>+'Schedule 7'!C$37++'Schedule 7'!C$38</f>
        <v>1.4599000000000002</v>
      </c>
    </row>
    <row r="36" spans="1:9">
      <c r="A36" s="46" t="s">
        <v>32</v>
      </c>
      <c r="B36" s="45">
        <f t="shared" si="1"/>
        <v>527.40109999999993</v>
      </c>
      <c r="C36" s="45">
        <f>+'Schedule 7'!C101</f>
        <v>399.26</v>
      </c>
      <c r="D36" s="45">
        <f>+'Schedule 7'!C31</f>
        <v>56.75</v>
      </c>
      <c r="E36" s="45">
        <v>0</v>
      </c>
      <c r="F36" s="45">
        <f>+'Schedule 7'!C$48</f>
        <v>57.25</v>
      </c>
      <c r="G36" s="45">
        <f>+'Schedule 7'!C$36+(12*+'Schedule 7'!C$143)</f>
        <v>11.801200000000001</v>
      </c>
      <c r="H36" s="45">
        <f>+'Schedule 7'!C$39*2</f>
        <v>0.88</v>
      </c>
      <c r="I36" s="45">
        <f>+'Schedule 7'!C$37++'Schedule 7'!C$38</f>
        <v>1.4599000000000002</v>
      </c>
    </row>
  </sheetData>
  <phoneticPr fontId="16" type="noConversion"/>
  <printOptions horizontalCentered="1"/>
  <pageMargins left="0.75" right="0.75" top="1" bottom="1" header="0.5" footer="0.5"/>
  <pageSetup orientation="landscape" r:id="rId1"/>
  <headerFooter alignWithMargins="0">
    <oddFooter>&amp;LDate: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topLeftCell="A4" zoomScaleNormal="100" workbookViewId="0"/>
  </sheetViews>
  <sheetFormatPr defaultRowHeight="12.75"/>
  <cols>
    <col min="1" max="1" width="10.109375" style="59" customWidth="1"/>
    <col min="2" max="2" width="23.33203125" style="59" customWidth="1"/>
    <col min="3" max="3" width="9.6640625" style="59" customWidth="1"/>
    <col min="4" max="16384" width="8.88671875" style="59"/>
  </cols>
  <sheetData>
    <row r="1" spans="1:4">
      <c r="D1" s="348" t="s">
        <v>802</v>
      </c>
    </row>
    <row r="3" spans="1:4" ht="18">
      <c r="A3" s="349" t="str">
        <f>+'Schedule 6'!A3</f>
        <v>STREET / CROSSWALK LIGHTING STUDY</v>
      </c>
      <c r="B3" s="350"/>
      <c r="C3" s="350"/>
      <c r="D3" s="350"/>
    </row>
    <row r="4" spans="1:4" ht="15.75">
      <c r="A4" s="346" t="s">
        <v>629</v>
      </c>
      <c r="B4" s="350"/>
      <c r="C4" s="350"/>
      <c r="D4" s="350"/>
    </row>
    <row r="5" spans="1:4" ht="15.75">
      <c r="A5" s="347" t="s">
        <v>628</v>
      </c>
      <c r="B5" s="350"/>
      <c r="C5" s="350"/>
      <c r="D5" s="350"/>
    </row>
    <row r="7" spans="1:4">
      <c r="A7" s="60" t="s">
        <v>150</v>
      </c>
      <c r="B7" s="60" t="s">
        <v>151</v>
      </c>
      <c r="C7" s="61" t="s">
        <v>152</v>
      </c>
      <c r="D7" s="235" t="s">
        <v>153</v>
      </c>
    </row>
    <row r="8" spans="1:4">
      <c r="A8" s="60"/>
      <c r="B8" s="60"/>
      <c r="C8" s="61"/>
      <c r="D8" s="62"/>
    </row>
    <row r="9" spans="1:4">
      <c r="A9" s="168" t="s">
        <v>154</v>
      </c>
      <c r="B9" s="63" t="s">
        <v>155</v>
      </c>
      <c r="C9" s="64">
        <v>1.3480000000000001</v>
      </c>
      <c r="D9" s="62"/>
    </row>
    <row r="10" spans="1:4">
      <c r="A10" s="168" t="s">
        <v>156</v>
      </c>
      <c r="B10" s="63" t="s">
        <v>155</v>
      </c>
      <c r="C10" s="64">
        <v>1.7522</v>
      </c>
      <c r="D10" s="62"/>
    </row>
    <row r="11" spans="1:4">
      <c r="A11" s="168" t="s">
        <v>157</v>
      </c>
      <c r="B11" s="63" t="s">
        <v>158</v>
      </c>
      <c r="C11" s="64">
        <v>3.49</v>
      </c>
      <c r="D11" s="62"/>
    </row>
    <row r="12" spans="1:4">
      <c r="A12" s="168" t="s">
        <v>159</v>
      </c>
      <c r="B12" s="63" t="s">
        <v>160</v>
      </c>
      <c r="C12" s="64">
        <v>3.9462999999999999</v>
      </c>
      <c r="D12" s="62"/>
    </row>
    <row r="13" spans="1:4">
      <c r="A13" s="168" t="s">
        <v>161</v>
      </c>
      <c r="B13" s="63" t="s">
        <v>162</v>
      </c>
      <c r="C13" s="64">
        <v>4.1900000000000004</v>
      </c>
      <c r="D13" s="62"/>
    </row>
    <row r="14" spans="1:4">
      <c r="A14" s="168" t="s">
        <v>163</v>
      </c>
      <c r="B14" s="63" t="s">
        <v>164</v>
      </c>
      <c r="C14" s="64">
        <v>3.14</v>
      </c>
      <c r="D14" s="62"/>
    </row>
    <row r="15" spans="1:4">
      <c r="A15" s="168" t="s">
        <v>165</v>
      </c>
      <c r="B15" s="63" t="s">
        <v>166</v>
      </c>
      <c r="C15" s="64">
        <v>6.5428999999999995</v>
      </c>
      <c r="D15" s="62"/>
    </row>
    <row r="16" spans="1:4">
      <c r="A16" s="168" t="s">
        <v>167</v>
      </c>
      <c r="B16" s="63" t="s">
        <v>168</v>
      </c>
      <c r="C16" s="64">
        <v>15.987</v>
      </c>
      <c r="D16" s="62"/>
    </row>
    <row r="17" spans="1:4">
      <c r="A17" s="168" t="s">
        <v>169</v>
      </c>
      <c r="B17" s="63" t="s">
        <v>170</v>
      </c>
      <c r="C17" s="64">
        <v>10.67</v>
      </c>
      <c r="D17" s="62"/>
    </row>
    <row r="18" spans="1:4">
      <c r="A18" s="168" t="s">
        <v>171</v>
      </c>
      <c r="B18" s="63" t="s">
        <v>172</v>
      </c>
      <c r="C18" s="64">
        <v>7.17</v>
      </c>
      <c r="D18" s="62"/>
    </row>
    <row r="19" spans="1:4">
      <c r="A19" s="168" t="s">
        <v>173</v>
      </c>
      <c r="B19" s="63" t="s">
        <v>174</v>
      </c>
      <c r="C19" s="64">
        <v>7.86</v>
      </c>
      <c r="D19" s="62"/>
    </row>
    <row r="20" spans="1:4">
      <c r="A20" s="168" t="s">
        <v>175</v>
      </c>
      <c r="B20" s="63" t="s">
        <v>176</v>
      </c>
      <c r="C20" s="64">
        <v>8.98</v>
      </c>
      <c r="D20" s="62"/>
    </row>
    <row r="21" spans="1:4">
      <c r="A21" s="168" t="s">
        <v>177</v>
      </c>
      <c r="B21" s="63" t="s">
        <v>178</v>
      </c>
      <c r="C21" s="64">
        <v>37.095999999999997</v>
      </c>
      <c r="D21" s="62"/>
    </row>
    <row r="22" spans="1:4">
      <c r="A22" s="168" t="s">
        <v>179</v>
      </c>
      <c r="B22" s="63" t="s">
        <v>180</v>
      </c>
      <c r="C22" s="64">
        <v>41.1</v>
      </c>
      <c r="D22" s="62"/>
    </row>
    <row r="23" spans="1:4">
      <c r="A23" s="168" t="s">
        <v>181</v>
      </c>
      <c r="B23" s="63" t="s">
        <v>182</v>
      </c>
      <c r="C23" s="64">
        <v>8.6199999999999992</v>
      </c>
      <c r="D23" s="62"/>
    </row>
    <row r="24" spans="1:4">
      <c r="A24" s="168" t="s">
        <v>183</v>
      </c>
      <c r="B24" s="63" t="s">
        <v>184</v>
      </c>
      <c r="C24" s="64">
        <v>8.3699999999999992</v>
      </c>
      <c r="D24" s="62"/>
    </row>
    <row r="25" spans="1:4">
      <c r="A25" s="168" t="s">
        <v>185</v>
      </c>
      <c r="B25" s="63" t="s">
        <v>186</v>
      </c>
      <c r="C25" s="64">
        <v>44</v>
      </c>
      <c r="D25" s="62"/>
    </row>
    <row r="26" spans="1:4">
      <c r="A26" s="168" t="s">
        <v>187</v>
      </c>
      <c r="B26" s="63" t="s">
        <v>188</v>
      </c>
      <c r="C26" s="64">
        <v>25.23</v>
      </c>
      <c r="D26" s="62"/>
    </row>
    <row r="27" spans="1:4">
      <c r="A27" s="168" t="s">
        <v>189</v>
      </c>
      <c r="B27" s="63" t="s">
        <v>190</v>
      </c>
      <c r="C27" s="64">
        <v>8.67</v>
      </c>
      <c r="D27" s="62"/>
    </row>
    <row r="28" spans="1:4">
      <c r="A28" s="168" t="s">
        <v>191</v>
      </c>
      <c r="B28" s="63" t="s">
        <v>192</v>
      </c>
      <c r="C28" s="64">
        <v>54.77</v>
      </c>
      <c r="D28" s="62"/>
    </row>
    <row r="29" spans="1:4">
      <c r="A29" s="168" t="s">
        <v>193</v>
      </c>
      <c r="B29" s="63" t="s">
        <v>194</v>
      </c>
      <c r="C29" s="64">
        <v>9.18</v>
      </c>
      <c r="D29" s="62"/>
    </row>
    <row r="30" spans="1:4">
      <c r="A30" s="168" t="s">
        <v>195</v>
      </c>
      <c r="B30" s="63" t="s">
        <v>196</v>
      </c>
      <c r="C30" s="64">
        <v>9.8000000000000007</v>
      </c>
      <c r="D30" s="62"/>
    </row>
    <row r="31" spans="1:4">
      <c r="A31" s="168" t="s">
        <v>197</v>
      </c>
      <c r="B31" s="63" t="s">
        <v>198</v>
      </c>
      <c r="C31" s="64">
        <v>56.75</v>
      </c>
      <c r="D31" s="62"/>
    </row>
    <row r="32" spans="1:4">
      <c r="A32" s="168" t="s">
        <v>199</v>
      </c>
      <c r="B32" s="63" t="s">
        <v>200</v>
      </c>
      <c r="C32" s="64">
        <v>18.829999999999998</v>
      </c>
      <c r="D32" s="62"/>
    </row>
    <row r="33" spans="1:4">
      <c r="A33" s="168" t="s">
        <v>201</v>
      </c>
      <c r="B33" s="63" t="s">
        <v>202</v>
      </c>
      <c r="C33" s="64">
        <v>14.93</v>
      </c>
      <c r="D33" s="62"/>
    </row>
    <row r="34" spans="1:4">
      <c r="A34" s="168" t="s">
        <v>203</v>
      </c>
      <c r="B34" s="63" t="s">
        <v>204</v>
      </c>
      <c r="C34" s="64">
        <v>31.31</v>
      </c>
      <c r="D34" s="62"/>
    </row>
    <row r="35" spans="1:4">
      <c r="A35" s="168" t="s">
        <v>205</v>
      </c>
      <c r="B35" s="63" t="s">
        <v>206</v>
      </c>
      <c r="C35" s="64">
        <v>2.21</v>
      </c>
      <c r="D35" s="62"/>
    </row>
    <row r="36" spans="1:4">
      <c r="A36" s="168" t="s">
        <v>207</v>
      </c>
      <c r="B36" s="63" t="s">
        <v>208</v>
      </c>
      <c r="C36" s="64">
        <v>3.97</v>
      </c>
      <c r="D36" s="62"/>
    </row>
    <row r="37" spans="1:4">
      <c r="A37" s="168" t="s">
        <v>209</v>
      </c>
      <c r="B37" s="63" t="s">
        <v>210</v>
      </c>
      <c r="C37" s="64">
        <v>0.55990000000000006</v>
      </c>
      <c r="D37" s="62"/>
    </row>
    <row r="38" spans="1:4">
      <c r="A38" s="168" t="s">
        <v>211</v>
      </c>
      <c r="B38" s="63" t="s">
        <v>212</v>
      </c>
      <c r="C38" s="64">
        <v>0.9</v>
      </c>
      <c r="D38" s="62"/>
    </row>
    <row r="39" spans="1:4">
      <c r="A39" s="168" t="s">
        <v>213</v>
      </c>
      <c r="B39" s="63" t="s">
        <v>214</v>
      </c>
      <c r="C39" s="64">
        <v>0.44</v>
      </c>
      <c r="D39" s="62"/>
    </row>
    <row r="40" spans="1:4">
      <c r="A40" s="168" t="s">
        <v>215</v>
      </c>
      <c r="B40" s="63" t="s">
        <v>216</v>
      </c>
      <c r="C40" s="64">
        <v>88.913200000000003</v>
      </c>
      <c r="D40" s="62"/>
    </row>
    <row r="41" spans="1:4">
      <c r="A41" s="168" t="s">
        <v>217</v>
      </c>
      <c r="B41" s="63" t="s">
        <v>218</v>
      </c>
      <c r="C41" s="64">
        <v>46.615299999999998</v>
      </c>
      <c r="D41" s="62"/>
    </row>
    <row r="42" spans="1:4">
      <c r="A42" s="168" t="s">
        <v>219</v>
      </c>
      <c r="B42" s="63" t="s">
        <v>220</v>
      </c>
      <c r="C42" s="64">
        <v>27.46</v>
      </c>
      <c r="D42" s="62"/>
    </row>
    <row r="43" spans="1:4">
      <c r="A43" s="168" t="s">
        <v>221</v>
      </c>
      <c r="B43" s="63" t="s">
        <v>222</v>
      </c>
      <c r="C43" s="64">
        <v>46.444700000000005</v>
      </c>
      <c r="D43" s="62"/>
    </row>
    <row r="44" spans="1:4">
      <c r="A44" s="168" t="s">
        <v>223</v>
      </c>
      <c r="B44" s="63" t="s">
        <v>224</v>
      </c>
      <c r="C44" s="64">
        <v>18.91</v>
      </c>
      <c r="D44" s="62"/>
    </row>
    <row r="45" spans="1:4">
      <c r="A45" s="168" t="s">
        <v>225</v>
      </c>
      <c r="B45" s="63" t="s">
        <v>226</v>
      </c>
      <c r="C45" s="64">
        <v>48.898999999999994</v>
      </c>
      <c r="D45" s="62"/>
    </row>
    <row r="46" spans="1:4">
      <c r="A46" s="168" t="s">
        <v>227</v>
      </c>
      <c r="B46" s="63" t="s">
        <v>228</v>
      </c>
      <c r="C46" s="64">
        <v>87.05</v>
      </c>
      <c r="D46" s="62"/>
    </row>
    <row r="47" spans="1:4">
      <c r="A47" s="168" t="s">
        <v>229</v>
      </c>
      <c r="B47" s="63" t="s">
        <v>230</v>
      </c>
      <c r="C47" s="64">
        <v>106.435</v>
      </c>
      <c r="D47" s="62"/>
    </row>
    <row r="48" spans="1:4">
      <c r="A48" s="168" t="s">
        <v>231</v>
      </c>
      <c r="B48" s="63" t="s">
        <v>232</v>
      </c>
      <c r="C48" s="64">
        <v>57.25</v>
      </c>
      <c r="D48" s="62"/>
    </row>
    <row r="49" spans="1:4">
      <c r="A49" s="168" t="s">
        <v>233</v>
      </c>
      <c r="B49" s="63" t="s">
        <v>234</v>
      </c>
      <c r="C49" s="64">
        <v>87.474999999999994</v>
      </c>
      <c r="D49" s="62"/>
    </row>
    <row r="50" spans="1:4">
      <c r="A50" s="168" t="s">
        <v>235</v>
      </c>
      <c r="B50" s="63" t="s">
        <v>236</v>
      </c>
      <c r="C50" s="64">
        <v>141.41559999999998</v>
      </c>
      <c r="D50" s="62"/>
    </row>
    <row r="51" spans="1:4">
      <c r="A51" s="168" t="s">
        <v>237</v>
      </c>
      <c r="B51" s="63" t="s">
        <v>238</v>
      </c>
      <c r="C51" s="64">
        <v>9.4628999999999994</v>
      </c>
      <c r="D51" s="62"/>
    </row>
    <row r="52" spans="1:4">
      <c r="A52" s="168" t="s">
        <v>239</v>
      </c>
      <c r="B52" s="63" t="s">
        <v>240</v>
      </c>
      <c r="C52" s="64">
        <v>26.241</v>
      </c>
      <c r="D52" s="62"/>
    </row>
    <row r="53" spans="1:4">
      <c r="A53" s="168" t="s">
        <v>241</v>
      </c>
      <c r="B53" s="63" t="s">
        <v>242</v>
      </c>
      <c r="C53" s="64">
        <v>463.38</v>
      </c>
      <c r="D53" s="62"/>
    </row>
    <row r="54" spans="1:4">
      <c r="A54" s="168" t="s">
        <v>243</v>
      </c>
      <c r="B54" s="63" t="s">
        <v>244</v>
      </c>
      <c r="C54" s="64">
        <v>562.07000000000005</v>
      </c>
      <c r="D54" s="62" t="s">
        <v>245</v>
      </c>
    </row>
    <row r="55" spans="1:4">
      <c r="A55" s="168" t="s">
        <v>246</v>
      </c>
      <c r="B55" s="63" t="s">
        <v>247</v>
      </c>
      <c r="C55" s="64">
        <v>493.3</v>
      </c>
      <c r="D55" s="62" t="s">
        <v>248</v>
      </c>
    </row>
    <row r="56" spans="1:4">
      <c r="A56" s="168" t="s">
        <v>249</v>
      </c>
      <c r="B56" s="63" t="s">
        <v>250</v>
      </c>
      <c r="C56" s="64">
        <v>386.7</v>
      </c>
      <c r="D56" s="62" t="s">
        <v>248</v>
      </c>
    </row>
    <row r="57" spans="1:4">
      <c r="A57" s="168" t="s">
        <v>251</v>
      </c>
      <c r="B57" s="63" t="s">
        <v>252</v>
      </c>
      <c r="C57" s="64">
        <v>73.332999999999998</v>
      </c>
      <c r="D57" s="62" t="s">
        <v>248</v>
      </c>
    </row>
    <row r="58" spans="1:4">
      <c r="A58" s="168">
        <v>57350835</v>
      </c>
      <c r="B58" s="63" t="s">
        <v>253</v>
      </c>
      <c r="C58" s="64">
        <v>99.23</v>
      </c>
      <c r="D58" s="62" t="s">
        <v>248</v>
      </c>
    </row>
    <row r="59" spans="1:4">
      <c r="A59" s="168" t="s">
        <v>254</v>
      </c>
      <c r="B59" s="63" t="s">
        <v>255</v>
      </c>
      <c r="C59" s="64">
        <v>97.696799999999996</v>
      </c>
      <c r="D59" s="62" t="s">
        <v>248</v>
      </c>
    </row>
    <row r="60" spans="1:4">
      <c r="A60" s="168" t="s">
        <v>256</v>
      </c>
      <c r="B60" s="63" t="s">
        <v>257</v>
      </c>
      <c r="C60" s="64">
        <v>120.88</v>
      </c>
      <c r="D60" s="62" t="s">
        <v>258</v>
      </c>
    </row>
    <row r="61" spans="1:4">
      <c r="A61" s="168" t="s">
        <v>259</v>
      </c>
      <c r="B61" s="63" t="s">
        <v>260</v>
      </c>
      <c r="C61" s="64">
        <v>69.316999999999993</v>
      </c>
      <c r="D61" s="62" t="s">
        <v>248</v>
      </c>
    </row>
    <row r="62" spans="1:4">
      <c r="A62" s="168" t="s">
        <v>261</v>
      </c>
      <c r="B62" s="63" t="s">
        <v>262</v>
      </c>
      <c r="C62" s="64">
        <v>97.68</v>
      </c>
      <c r="D62" s="62" t="s">
        <v>263</v>
      </c>
    </row>
    <row r="63" spans="1:4">
      <c r="A63" s="168" t="s">
        <v>264</v>
      </c>
      <c r="B63" s="63" t="s">
        <v>265</v>
      </c>
      <c r="C63" s="64">
        <v>99.373799999999989</v>
      </c>
      <c r="D63" s="62" t="s">
        <v>266</v>
      </c>
    </row>
    <row r="64" spans="1:4">
      <c r="A64" s="168" t="s">
        <v>267</v>
      </c>
      <c r="B64" s="63" t="s">
        <v>268</v>
      </c>
      <c r="C64" s="64">
        <v>120.32</v>
      </c>
      <c r="D64" s="62" t="s">
        <v>269</v>
      </c>
    </row>
    <row r="65" spans="1:4">
      <c r="A65" s="168" t="s">
        <v>270</v>
      </c>
      <c r="B65" s="63" t="s">
        <v>271</v>
      </c>
      <c r="C65" s="64">
        <v>75.003999999999991</v>
      </c>
      <c r="D65" s="62" t="s">
        <v>248</v>
      </c>
    </row>
    <row r="66" spans="1:4">
      <c r="A66" s="168" t="s">
        <v>272</v>
      </c>
      <c r="B66" s="63" t="s">
        <v>273</v>
      </c>
      <c r="C66" s="64">
        <v>100.21</v>
      </c>
      <c r="D66" s="62" t="s">
        <v>248</v>
      </c>
    </row>
    <row r="67" spans="1:4">
      <c r="A67" s="168" t="s">
        <v>274</v>
      </c>
      <c r="B67" s="63" t="s">
        <v>275</v>
      </c>
      <c r="C67" s="64">
        <v>122.41</v>
      </c>
      <c r="D67" s="62" t="s">
        <v>276</v>
      </c>
    </row>
    <row r="68" spans="1:4">
      <c r="A68" s="168" t="s">
        <v>277</v>
      </c>
      <c r="B68" s="63" t="s">
        <v>278</v>
      </c>
      <c r="C68" s="64">
        <v>98.366200000000006</v>
      </c>
      <c r="D68" s="62" t="s">
        <v>248</v>
      </c>
    </row>
    <row r="69" spans="1:4">
      <c r="A69" s="168" t="s">
        <v>279</v>
      </c>
      <c r="B69" s="63" t="s">
        <v>280</v>
      </c>
      <c r="C69" s="64">
        <v>98.76</v>
      </c>
      <c r="D69" s="62" t="s">
        <v>248</v>
      </c>
    </row>
    <row r="70" spans="1:4">
      <c r="A70" s="168" t="s">
        <v>281</v>
      </c>
      <c r="B70" s="63" t="s">
        <v>282</v>
      </c>
      <c r="C70" s="64">
        <v>135.75</v>
      </c>
      <c r="D70" s="62" t="s">
        <v>248</v>
      </c>
    </row>
    <row r="71" spans="1:4">
      <c r="A71" s="168" t="s">
        <v>283</v>
      </c>
      <c r="B71" s="63" t="s">
        <v>284</v>
      </c>
      <c r="C71" s="64">
        <v>82.27</v>
      </c>
      <c r="D71" s="62" t="s">
        <v>248</v>
      </c>
    </row>
    <row r="72" spans="1:4">
      <c r="A72" s="168" t="s">
        <v>285</v>
      </c>
      <c r="B72" s="63" t="s">
        <v>286</v>
      </c>
      <c r="C72" s="64">
        <v>100.95</v>
      </c>
      <c r="D72" s="62" t="s">
        <v>248</v>
      </c>
    </row>
    <row r="73" spans="1:4">
      <c r="A73" s="168" t="s">
        <v>287</v>
      </c>
      <c r="B73" s="63" t="s">
        <v>288</v>
      </c>
      <c r="C73" s="64">
        <v>145.97</v>
      </c>
      <c r="D73" s="62" t="s">
        <v>289</v>
      </c>
    </row>
    <row r="74" spans="1:4">
      <c r="A74" s="168" t="s">
        <v>290</v>
      </c>
      <c r="B74" s="63" t="s">
        <v>291</v>
      </c>
      <c r="C74" s="64">
        <v>150.88</v>
      </c>
      <c r="D74" s="62" t="s">
        <v>292</v>
      </c>
    </row>
    <row r="75" spans="1:4">
      <c r="A75" s="168" t="s">
        <v>293</v>
      </c>
      <c r="B75" s="63" t="s">
        <v>294</v>
      </c>
      <c r="C75" s="64">
        <v>79.236999999999995</v>
      </c>
      <c r="D75" s="62" t="s">
        <v>248</v>
      </c>
    </row>
    <row r="76" spans="1:4">
      <c r="A76" s="168" t="s">
        <v>295</v>
      </c>
      <c r="B76" s="63" t="s">
        <v>296</v>
      </c>
      <c r="C76" s="64">
        <v>102.95</v>
      </c>
      <c r="D76" s="62" t="s">
        <v>248</v>
      </c>
    </row>
    <row r="77" spans="1:4">
      <c r="A77" s="168" t="s">
        <v>297</v>
      </c>
      <c r="B77" s="63" t="s">
        <v>298</v>
      </c>
      <c r="C77" s="64">
        <v>142.47999999999999</v>
      </c>
      <c r="D77" s="62" t="s">
        <v>276</v>
      </c>
    </row>
    <row r="78" spans="1:4">
      <c r="A78" s="168" t="s">
        <v>299</v>
      </c>
      <c r="B78" s="63" t="s">
        <v>300</v>
      </c>
      <c r="C78" s="64">
        <v>160.35990000000001</v>
      </c>
      <c r="D78" s="62" t="s">
        <v>301</v>
      </c>
    </row>
    <row r="79" spans="1:4">
      <c r="A79" s="168" t="s">
        <v>302</v>
      </c>
      <c r="B79" s="63" t="s">
        <v>303</v>
      </c>
      <c r="C79" s="64">
        <v>109.5951</v>
      </c>
      <c r="D79" s="62" t="s">
        <v>248</v>
      </c>
    </row>
    <row r="80" spans="1:4">
      <c r="A80" s="168" t="s">
        <v>304</v>
      </c>
      <c r="B80" s="63" t="s">
        <v>305</v>
      </c>
      <c r="C80" s="64">
        <v>156.93</v>
      </c>
      <c r="D80" s="62" t="s">
        <v>306</v>
      </c>
    </row>
    <row r="81" spans="1:4">
      <c r="A81" s="168" t="s">
        <v>307</v>
      </c>
      <c r="B81" s="63" t="s">
        <v>308</v>
      </c>
      <c r="C81" s="64">
        <v>204.297</v>
      </c>
      <c r="D81" s="62" t="s">
        <v>248</v>
      </c>
    </row>
    <row r="82" spans="1:4">
      <c r="A82" s="168" t="s">
        <v>309</v>
      </c>
      <c r="B82" s="63" t="s">
        <v>310</v>
      </c>
      <c r="C82" s="64">
        <v>196</v>
      </c>
      <c r="D82" s="62" t="s">
        <v>248</v>
      </c>
    </row>
    <row r="83" spans="1:4">
      <c r="A83" s="168" t="s">
        <v>311</v>
      </c>
      <c r="B83" s="63" t="s">
        <v>312</v>
      </c>
      <c r="C83" s="64">
        <v>164.95330000000001</v>
      </c>
      <c r="D83" s="62" t="s">
        <v>306</v>
      </c>
    </row>
    <row r="84" spans="1:4">
      <c r="A84" s="168" t="s">
        <v>313</v>
      </c>
      <c r="B84" s="63" t="s">
        <v>314</v>
      </c>
      <c r="C84" s="64">
        <v>281.54330000000004</v>
      </c>
      <c r="D84" s="62" t="s">
        <v>248</v>
      </c>
    </row>
    <row r="85" spans="1:4">
      <c r="A85" s="168" t="s">
        <v>315</v>
      </c>
      <c r="B85" s="63" t="s">
        <v>316</v>
      </c>
      <c r="C85" s="64">
        <v>300</v>
      </c>
      <c r="D85" s="62" t="s">
        <v>248</v>
      </c>
    </row>
    <row r="86" spans="1:4">
      <c r="A86" s="168" t="s">
        <v>317</v>
      </c>
      <c r="B86" s="63" t="s">
        <v>316</v>
      </c>
      <c r="C86" s="64">
        <v>294.79000000000002</v>
      </c>
      <c r="D86" s="62" t="s">
        <v>318</v>
      </c>
    </row>
    <row r="87" spans="1:4">
      <c r="A87" s="168" t="s">
        <v>319</v>
      </c>
      <c r="B87" s="63" t="s">
        <v>320</v>
      </c>
      <c r="C87" s="64">
        <v>107.759</v>
      </c>
      <c r="D87" s="62" t="s">
        <v>248</v>
      </c>
    </row>
    <row r="88" spans="1:4">
      <c r="A88" s="168" t="s">
        <v>321</v>
      </c>
      <c r="B88" s="63" t="s">
        <v>322</v>
      </c>
      <c r="C88" s="64">
        <v>107.79809999999999</v>
      </c>
      <c r="D88" s="62" t="s">
        <v>323</v>
      </c>
    </row>
    <row r="89" spans="1:4">
      <c r="A89" s="168" t="s">
        <v>324</v>
      </c>
      <c r="B89" s="63" t="s">
        <v>325</v>
      </c>
      <c r="C89" s="64">
        <v>184.25</v>
      </c>
      <c r="D89" s="62" t="s">
        <v>326</v>
      </c>
    </row>
    <row r="90" spans="1:4">
      <c r="A90" s="168" t="s">
        <v>327</v>
      </c>
      <c r="B90" s="63" t="s">
        <v>328</v>
      </c>
      <c r="C90" s="64">
        <v>92.88</v>
      </c>
      <c r="D90" s="62" t="s">
        <v>248</v>
      </c>
    </row>
    <row r="91" spans="1:4">
      <c r="A91" s="168" t="s">
        <v>329</v>
      </c>
      <c r="B91" s="63" t="s">
        <v>330</v>
      </c>
      <c r="C91" s="64">
        <v>106.36499999999999</v>
      </c>
      <c r="D91" s="62" t="s">
        <v>248</v>
      </c>
    </row>
    <row r="92" spans="1:4">
      <c r="A92" s="168" t="s">
        <v>331</v>
      </c>
      <c r="B92" s="63" t="s">
        <v>332</v>
      </c>
      <c r="C92" s="64">
        <v>140.5</v>
      </c>
      <c r="D92" s="62" t="s">
        <v>333</v>
      </c>
    </row>
    <row r="93" spans="1:4">
      <c r="A93" s="168" t="s">
        <v>334</v>
      </c>
      <c r="B93" s="63" t="s">
        <v>335</v>
      </c>
      <c r="C93" s="64">
        <v>180.61750000000001</v>
      </c>
      <c r="D93" s="62" t="s">
        <v>336</v>
      </c>
    </row>
    <row r="94" spans="1:4">
      <c r="A94" s="168" t="s">
        <v>337</v>
      </c>
      <c r="B94" s="63" t="s">
        <v>338</v>
      </c>
      <c r="C94" s="64">
        <v>53.03</v>
      </c>
      <c r="D94" s="62"/>
    </row>
    <row r="95" spans="1:4">
      <c r="A95" s="168" t="s">
        <v>339</v>
      </c>
      <c r="B95" s="63" t="s">
        <v>340</v>
      </c>
      <c r="C95" s="64">
        <v>397.89699999999999</v>
      </c>
      <c r="D95" s="62" t="s">
        <v>248</v>
      </c>
    </row>
    <row r="96" spans="1:4">
      <c r="A96" s="168" t="s">
        <v>341</v>
      </c>
      <c r="B96" s="63" t="s">
        <v>342</v>
      </c>
      <c r="C96" s="64">
        <v>181.97490000000002</v>
      </c>
      <c r="D96" s="62"/>
    </row>
    <row r="97" spans="1:4">
      <c r="A97" s="168" t="s">
        <v>343</v>
      </c>
      <c r="B97" s="63" t="s">
        <v>344</v>
      </c>
      <c r="C97" s="64">
        <v>281.16500000000002</v>
      </c>
      <c r="D97" s="62" t="s">
        <v>248</v>
      </c>
    </row>
    <row r="98" spans="1:4">
      <c r="A98" s="168" t="s">
        <v>345</v>
      </c>
      <c r="B98" s="63" t="s">
        <v>346</v>
      </c>
      <c r="C98" s="64">
        <v>192.21</v>
      </c>
      <c r="D98" s="62" t="s">
        <v>347</v>
      </c>
    </row>
    <row r="99" spans="1:4">
      <c r="A99" s="168" t="s">
        <v>348</v>
      </c>
      <c r="B99" s="63" t="s">
        <v>349</v>
      </c>
      <c r="C99" s="64">
        <v>329.47</v>
      </c>
      <c r="D99" s="62" t="s">
        <v>350</v>
      </c>
    </row>
    <row r="100" spans="1:4">
      <c r="A100" s="168" t="s">
        <v>351</v>
      </c>
      <c r="B100" s="63" t="s">
        <v>352</v>
      </c>
      <c r="C100" s="64">
        <v>198.64</v>
      </c>
      <c r="D100" s="62" t="s">
        <v>353</v>
      </c>
    </row>
    <row r="101" spans="1:4">
      <c r="A101" s="168" t="s">
        <v>354</v>
      </c>
      <c r="B101" s="63" t="s">
        <v>355</v>
      </c>
      <c r="C101" s="64">
        <v>399.26</v>
      </c>
      <c r="D101" s="62"/>
    </row>
    <row r="102" spans="1:4">
      <c r="A102" s="168" t="s">
        <v>356</v>
      </c>
      <c r="B102" s="63" t="s">
        <v>357</v>
      </c>
      <c r="C102" s="64">
        <v>439.18599999999998</v>
      </c>
      <c r="D102" s="62" t="s">
        <v>248</v>
      </c>
    </row>
    <row r="103" spans="1:4">
      <c r="A103" s="168" t="s">
        <v>358</v>
      </c>
      <c r="B103" s="63" t="s">
        <v>359</v>
      </c>
      <c r="C103" s="64">
        <v>9.15</v>
      </c>
      <c r="D103" s="62"/>
    </row>
    <row r="104" spans="1:4">
      <c r="A104" s="168" t="s">
        <v>360</v>
      </c>
      <c r="B104" s="63" t="s">
        <v>361</v>
      </c>
      <c r="C104" s="64">
        <v>4.8</v>
      </c>
      <c r="D104" s="62"/>
    </row>
    <row r="105" spans="1:4">
      <c r="A105" s="168" t="s">
        <v>362</v>
      </c>
      <c r="B105" s="63" t="s">
        <v>363</v>
      </c>
      <c r="C105" s="64">
        <v>7.05</v>
      </c>
      <c r="D105" s="62"/>
    </row>
    <row r="106" spans="1:4">
      <c r="A106" s="168" t="s">
        <v>364</v>
      </c>
      <c r="B106" s="63" t="s">
        <v>365</v>
      </c>
      <c r="C106" s="64">
        <v>7.84</v>
      </c>
      <c r="D106" s="62"/>
    </row>
    <row r="107" spans="1:4">
      <c r="A107" s="168" t="s">
        <v>366</v>
      </c>
      <c r="B107" s="63" t="s">
        <v>367</v>
      </c>
      <c r="C107" s="64">
        <v>19.510000000000002</v>
      </c>
      <c r="D107" s="62"/>
    </row>
    <row r="108" spans="1:4">
      <c r="A108" s="168" t="s">
        <v>368</v>
      </c>
      <c r="B108" s="63" t="s">
        <v>369</v>
      </c>
      <c r="C108" s="64">
        <v>10.3</v>
      </c>
      <c r="D108" s="62"/>
    </row>
    <row r="109" spans="1:4">
      <c r="A109" s="168" t="s">
        <v>370</v>
      </c>
      <c r="B109" s="63" t="s">
        <v>371</v>
      </c>
      <c r="C109" s="64">
        <v>50.44</v>
      </c>
      <c r="D109" s="62"/>
    </row>
    <row r="110" spans="1:4">
      <c r="A110" s="168" t="s">
        <v>372</v>
      </c>
      <c r="B110" s="63" t="s">
        <v>373</v>
      </c>
      <c r="C110" s="64">
        <v>32.595999999999997</v>
      </c>
      <c r="D110" s="62"/>
    </row>
    <row r="111" spans="1:4">
      <c r="A111" s="168" t="s">
        <v>374</v>
      </c>
      <c r="B111" s="63" t="s">
        <v>375</v>
      </c>
      <c r="C111" s="64">
        <v>0</v>
      </c>
      <c r="D111" s="62"/>
    </row>
    <row r="112" spans="1:4">
      <c r="A112" s="168" t="s">
        <v>376</v>
      </c>
      <c r="B112" s="63" t="s">
        <v>377</v>
      </c>
      <c r="C112" s="64">
        <v>48.033000000000001</v>
      </c>
      <c r="D112" s="62"/>
    </row>
    <row r="113" spans="1:4">
      <c r="A113" s="168" t="s">
        <v>378</v>
      </c>
      <c r="B113" s="63" t="s">
        <v>379</v>
      </c>
      <c r="C113" s="64">
        <v>73.73899999999999</v>
      </c>
      <c r="D113" s="62"/>
    </row>
    <row r="114" spans="1:4">
      <c r="A114" s="168" t="s">
        <v>380</v>
      </c>
      <c r="B114" s="63" t="s">
        <v>381</v>
      </c>
      <c r="C114" s="64">
        <v>21.07</v>
      </c>
      <c r="D114" s="62"/>
    </row>
    <row r="115" spans="1:4">
      <c r="A115" s="168" t="s">
        <v>382</v>
      </c>
      <c r="B115" s="63" t="s">
        <v>373</v>
      </c>
      <c r="C115" s="64">
        <v>66.37</v>
      </c>
      <c r="D115" s="62"/>
    </row>
    <row r="116" spans="1:4">
      <c r="A116" s="168" t="s">
        <v>383</v>
      </c>
      <c r="B116" s="63" t="s">
        <v>384</v>
      </c>
      <c r="C116" s="64">
        <v>40.698</v>
      </c>
      <c r="D116" s="62"/>
    </row>
    <row r="117" spans="1:4">
      <c r="A117" s="168" t="s">
        <v>385</v>
      </c>
      <c r="B117" s="63" t="s">
        <v>386</v>
      </c>
      <c r="C117" s="64">
        <v>78.674999999999997</v>
      </c>
      <c r="D117" s="62"/>
    </row>
    <row r="118" spans="1:4">
      <c r="A118" s="168" t="s">
        <v>387</v>
      </c>
      <c r="B118" s="63" t="s">
        <v>388</v>
      </c>
      <c r="C118" s="64">
        <v>18.66</v>
      </c>
      <c r="D118" s="62"/>
    </row>
    <row r="119" spans="1:4">
      <c r="A119" s="168" t="s">
        <v>389</v>
      </c>
      <c r="B119" s="63" t="s">
        <v>390</v>
      </c>
      <c r="C119" s="64">
        <v>16.004000000000001</v>
      </c>
      <c r="D119" s="62"/>
    </row>
    <row r="120" spans="1:4">
      <c r="A120" s="168" t="s">
        <v>391</v>
      </c>
      <c r="B120" s="63" t="s">
        <v>392</v>
      </c>
      <c r="C120" s="64">
        <v>24</v>
      </c>
      <c r="D120" s="62"/>
    </row>
    <row r="121" spans="1:4">
      <c r="A121" s="168" t="s">
        <v>393</v>
      </c>
      <c r="B121" s="63" t="s">
        <v>394</v>
      </c>
      <c r="C121" s="64">
        <v>17.850000000000001</v>
      </c>
      <c r="D121" s="62"/>
    </row>
    <row r="122" spans="1:4">
      <c r="A122" s="168" t="s">
        <v>395</v>
      </c>
      <c r="B122" s="63" t="s">
        <v>396</v>
      </c>
      <c r="C122" s="64">
        <v>25.885000000000002</v>
      </c>
      <c r="D122" s="62"/>
    </row>
    <row r="123" spans="1:4">
      <c r="A123" s="168" t="s">
        <v>397</v>
      </c>
      <c r="B123" s="63" t="s">
        <v>398</v>
      </c>
      <c r="C123" s="64">
        <v>92.87</v>
      </c>
      <c r="D123" s="62"/>
    </row>
    <row r="124" spans="1:4">
      <c r="A124" s="168" t="s">
        <v>399</v>
      </c>
      <c r="B124" s="63" t="s">
        <v>400</v>
      </c>
      <c r="C124" s="64">
        <v>17.5</v>
      </c>
      <c r="D124" s="62"/>
    </row>
    <row r="125" spans="1:4">
      <c r="A125" s="168" t="s">
        <v>401</v>
      </c>
      <c r="B125" s="63" t="s">
        <v>402</v>
      </c>
      <c r="C125" s="64">
        <v>6.25</v>
      </c>
      <c r="D125" s="62"/>
    </row>
    <row r="126" spans="1:4">
      <c r="A126" s="168" t="s">
        <v>403</v>
      </c>
      <c r="B126" s="63" t="s">
        <v>404</v>
      </c>
      <c r="C126" s="64">
        <v>34.363</v>
      </c>
      <c r="D126" s="62"/>
    </row>
    <row r="127" spans="1:4">
      <c r="A127" s="168" t="s">
        <v>405</v>
      </c>
      <c r="B127" s="63" t="s">
        <v>406</v>
      </c>
      <c r="C127" s="64">
        <v>71.31</v>
      </c>
      <c r="D127" s="62"/>
    </row>
    <row r="128" spans="1:4">
      <c r="A128" s="168" t="s">
        <v>407</v>
      </c>
      <c r="B128" s="63" t="s">
        <v>406</v>
      </c>
      <c r="C128" s="64">
        <v>88.614999999999995</v>
      </c>
      <c r="D128" s="62"/>
    </row>
    <row r="129" spans="1:4">
      <c r="A129" s="168" t="s">
        <v>408</v>
      </c>
      <c r="B129" s="63" t="s">
        <v>409</v>
      </c>
      <c r="C129" s="64">
        <v>38.692</v>
      </c>
      <c r="D129" s="62"/>
    </row>
    <row r="130" spans="1:4">
      <c r="A130" s="168" t="s">
        <v>410</v>
      </c>
      <c r="B130" s="63" t="s">
        <v>411</v>
      </c>
      <c r="C130" s="64">
        <v>33.01</v>
      </c>
      <c r="D130" s="62"/>
    </row>
    <row r="131" spans="1:4">
      <c r="A131" s="168" t="s">
        <v>412</v>
      </c>
      <c r="B131" s="63" t="s">
        <v>413</v>
      </c>
      <c r="C131" s="64">
        <v>33.89</v>
      </c>
      <c r="D131" s="62"/>
    </row>
    <row r="132" spans="1:4">
      <c r="A132" s="168" t="s">
        <v>414</v>
      </c>
      <c r="B132" s="63" t="s">
        <v>415</v>
      </c>
      <c r="C132" s="64">
        <v>140.04</v>
      </c>
      <c r="D132" s="62"/>
    </row>
    <row r="133" spans="1:4">
      <c r="A133" s="168" t="s">
        <v>416</v>
      </c>
      <c r="B133" s="63" t="s">
        <v>417</v>
      </c>
      <c r="C133" s="64">
        <v>211.15</v>
      </c>
      <c r="D133" s="62"/>
    </row>
    <row r="134" spans="1:4">
      <c r="A134" s="168" t="s">
        <v>418</v>
      </c>
      <c r="B134" s="63" t="s">
        <v>419</v>
      </c>
      <c r="C134" s="64">
        <v>191.29</v>
      </c>
      <c r="D134" s="62"/>
    </row>
    <row r="135" spans="1:4">
      <c r="A135" s="168" t="s">
        <v>420</v>
      </c>
      <c r="B135" s="63" t="s">
        <v>421</v>
      </c>
      <c r="C135" s="64">
        <v>31.63</v>
      </c>
      <c r="D135" s="62"/>
    </row>
    <row r="136" spans="1:4">
      <c r="A136" s="168" t="s">
        <v>422</v>
      </c>
      <c r="B136" s="63" t="s">
        <v>423</v>
      </c>
      <c r="C136" s="64">
        <v>40.951000000000001</v>
      </c>
      <c r="D136" s="62"/>
    </row>
    <row r="137" spans="1:4">
      <c r="A137" s="168" t="s">
        <v>424</v>
      </c>
      <c r="B137" s="63" t="s">
        <v>425</v>
      </c>
      <c r="C137" s="64">
        <v>41.164999999999999</v>
      </c>
      <c r="D137" s="62"/>
    </row>
    <row r="138" spans="1:4">
      <c r="A138" s="168" t="s">
        <v>426</v>
      </c>
      <c r="B138" s="63" t="s">
        <v>427</v>
      </c>
      <c r="C138" s="64">
        <v>40.405000000000001</v>
      </c>
      <c r="D138" s="62"/>
    </row>
    <row r="139" spans="1:4">
      <c r="A139" s="168" t="s">
        <v>428</v>
      </c>
      <c r="B139" s="63" t="s">
        <v>429</v>
      </c>
      <c r="C139" s="64">
        <v>31.75</v>
      </c>
      <c r="D139" s="62"/>
    </row>
    <row r="140" spans="1:4">
      <c r="A140" s="168" t="s">
        <v>430</v>
      </c>
      <c r="B140" s="63" t="s">
        <v>431</v>
      </c>
      <c r="C140" s="64">
        <v>40.76</v>
      </c>
      <c r="D140" s="62"/>
    </row>
    <row r="141" spans="1:4">
      <c r="A141" s="168" t="s">
        <v>432</v>
      </c>
      <c r="B141" s="63" t="s">
        <v>433</v>
      </c>
      <c r="C141" s="64">
        <v>36.353299999999997</v>
      </c>
      <c r="D141" s="62"/>
    </row>
    <row r="142" spans="1:4">
      <c r="A142" s="168" t="s">
        <v>434</v>
      </c>
      <c r="B142" s="63" t="s">
        <v>427</v>
      </c>
      <c r="C142" s="64">
        <v>48.16</v>
      </c>
      <c r="D142" s="62"/>
    </row>
    <row r="143" spans="1:4">
      <c r="A143" s="168" t="s">
        <v>435</v>
      </c>
      <c r="B143" s="63" t="s">
        <v>436</v>
      </c>
      <c r="C143" s="64">
        <v>0.65260000000000007</v>
      </c>
      <c r="D143" s="62"/>
    </row>
  </sheetData>
  <phoneticPr fontId="15" type="noConversion"/>
  <printOptions horizontalCentered="1"/>
  <pageMargins left="0.25" right="0.25" top="0.75" bottom="0.75" header="0.5" footer="0.5"/>
  <pageSetup fitToHeight="3" orientation="portrait" verticalDpi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25" workbookViewId="0"/>
  </sheetViews>
  <sheetFormatPr defaultColWidth="7.109375" defaultRowHeight="12.75"/>
  <cols>
    <col min="1" max="1" width="35.88671875" style="48" customWidth="1"/>
    <col min="2" max="5" width="12.21875" style="48" customWidth="1"/>
    <col min="6" max="6" width="17.33203125" style="48" bestFit="1" customWidth="1"/>
    <col min="7" max="16384" width="7.109375" style="48"/>
  </cols>
  <sheetData>
    <row r="1" spans="1:6">
      <c r="F1" s="49" t="s">
        <v>803</v>
      </c>
    </row>
    <row r="3" spans="1:6" ht="18">
      <c r="A3" s="352" t="str">
        <f>+'Schedule 7'!A3</f>
        <v>STREET / CROSSWALK LIGHTING STUDY</v>
      </c>
      <c r="B3" s="353"/>
      <c r="C3" s="353"/>
      <c r="D3" s="353"/>
      <c r="E3" s="353"/>
      <c r="F3" s="353"/>
    </row>
    <row r="4" spans="1:6" ht="15.75">
      <c r="A4" s="354" t="s">
        <v>804</v>
      </c>
      <c r="B4" s="351"/>
      <c r="C4" s="351"/>
      <c r="D4" s="351"/>
      <c r="E4" s="351"/>
      <c r="F4" s="351"/>
    </row>
    <row r="5" spans="1:6" ht="15.75">
      <c r="A5" s="347" t="s">
        <v>628</v>
      </c>
      <c r="B5" s="351"/>
      <c r="C5" s="351"/>
      <c r="D5" s="351"/>
      <c r="E5" s="351"/>
      <c r="F5" s="351"/>
    </row>
    <row r="6" spans="1:6">
      <c r="A6" s="47"/>
    </row>
    <row r="7" spans="1:6">
      <c r="A7" s="49" t="s">
        <v>121</v>
      </c>
      <c r="B7" s="58" t="s">
        <v>145</v>
      </c>
    </row>
    <row r="8" spans="1:6">
      <c r="B8" s="58" t="s">
        <v>813</v>
      </c>
    </row>
    <row r="9" spans="1:6">
      <c r="B9" s="58" t="s">
        <v>815</v>
      </c>
    </row>
    <row r="10" spans="1:6">
      <c r="B10" s="58" t="s">
        <v>814</v>
      </c>
    </row>
    <row r="12" spans="1:6">
      <c r="A12" s="355" t="s">
        <v>43</v>
      </c>
      <c r="B12" s="50" t="s">
        <v>122</v>
      </c>
      <c r="C12" s="50" t="s">
        <v>123</v>
      </c>
      <c r="D12" s="50" t="s">
        <v>124</v>
      </c>
      <c r="E12" s="50" t="s">
        <v>125</v>
      </c>
      <c r="F12" s="50" t="s">
        <v>126</v>
      </c>
    </row>
    <row r="13" spans="1:6">
      <c r="A13" s="356"/>
      <c r="B13" s="51" t="s">
        <v>127</v>
      </c>
      <c r="C13" s="51" t="s">
        <v>128</v>
      </c>
      <c r="D13" s="51" t="s">
        <v>129</v>
      </c>
      <c r="E13" s="51" t="s">
        <v>144</v>
      </c>
      <c r="F13" s="51" t="s">
        <v>144</v>
      </c>
    </row>
    <row r="14" spans="1:6">
      <c r="A14" s="357" t="s">
        <v>45</v>
      </c>
      <c r="B14" s="52">
        <v>2500</v>
      </c>
      <c r="C14" s="53">
        <v>4000</v>
      </c>
      <c r="D14" s="54">
        <f t="shared" ref="D14:D23" si="0">B14/C14</f>
        <v>0.625</v>
      </c>
      <c r="E14" s="55">
        <f t="shared" ref="E14:E24" si="1">D14/D$23</f>
        <v>0.10416666666666667</v>
      </c>
      <c r="F14" s="55">
        <f t="shared" ref="F14:F24" si="2">1/E14</f>
        <v>9.6</v>
      </c>
    </row>
    <row r="15" spans="1:6">
      <c r="A15" s="359" t="s">
        <v>130</v>
      </c>
      <c r="B15" s="363">
        <v>12000</v>
      </c>
      <c r="C15" s="360">
        <f>C14</f>
        <v>4000</v>
      </c>
      <c r="D15" s="361">
        <f t="shared" si="0"/>
        <v>3</v>
      </c>
      <c r="E15" s="362">
        <f t="shared" si="1"/>
        <v>0.5</v>
      </c>
      <c r="F15" s="362">
        <f t="shared" si="2"/>
        <v>2</v>
      </c>
    </row>
    <row r="16" spans="1:6">
      <c r="A16" s="358" t="s">
        <v>138</v>
      </c>
      <c r="B16" s="52">
        <v>24000</v>
      </c>
      <c r="C16" s="53">
        <f>C15</f>
        <v>4000</v>
      </c>
      <c r="D16" s="54">
        <f t="shared" si="0"/>
        <v>6</v>
      </c>
      <c r="E16" s="55">
        <f t="shared" si="1"/>
        <v>1</v>
      </c>
      <c r="F16" s="55">
        <f t="shared" si="2"/>
        <v>1</v>
      </c>
    </row>
    <row r="17" spans="1:6">
      <c r="A17" s="358" t="s">
        <v>143</v>
      </c>
      <c r="B17" s="52">
        <f>0.75*B16</f>
        <v>18000</v>
      </c>
      <c r="C17" s="53">
        <f>C16</f>
        <v>4000</v>
      </c>
      <c r="D17" s="54">
        <f t="shared" si="0"/>
        <v>4.5</v>
      </c>
      <c r="E17" s="55">
        <f t="shared" si="1"/>
        <v>0.75</v>
      </c>
      <c r="F17" s="55">
        <f t="shared" si="2"/>
        <v>1.3333333333333333</v>
      </c>
    </row>
    <row r="18" spans="1:6">
      <c r="A18" s="357" t="s">
        <v>131</v>
      </c>
      <c r="B18" s="52">
        <v>7500</v>
      </c>
      <c r="C18" s="53">
        <f>C16</f>
        <v>4000</v>
      </c>
      <c r="D18" s="54">
        <f t="shared" si="0"/>
        <v>1.875</v>
      </c>
      <c r="E18" s="55">
        <f t="shared" si="1"/>
        <v>0.3125</v>
      </c>
      <c r="F18" s="55">
        <f t="shared" si="2"/>
        <v>3.2</v>
      </c>
    </row>
    <row r="19" spans="1:6">
      <c r="A19" s="357" t="s">
        <v>132</v>
      </c>
      <c r="B19" s="52">
        <v>10000</v>
      </c>
      <c r="C19" s="53">
        <f t="shared" ref="C19:C24" si="3">C18</f>
        <v>4000</v>
      </c>
      <c r="D19" s="54">
        <f t="shared" si="0"/>
        <v>2.5</v>
      </c>
      <c r="E19" s="55">
        <f t="shared" si="1"/>
        <v>0.41666666666666669</v>
      </c>
      <c r="F19" s="55">
        <f t="shared" si="2"/>
        <v>2.4</v>
      </c>
    </row>
    <row r="20" spans="1:6">
      <c r="A20" s="357" t="s">
        <v>133</v>
      </c>
      <c r="B20" s="52">
        <v>15000</v>
      </c>
      <c r="C20" s="53">
        <f t="shared" si="3"/>
        <v>4000</v>
      </c>
      <c r="D20" s="54">
        <f t="shared" si="0"/>
        <v>3.75</v>
      </c>
      <c r="E20" s="55">
        <f t="shared" si="1"/>
        <v>0.625</v>
      </c>
      <c r="F20" s="55">
        <f t="shared" si="2"/>
        <v>1.6</v>
      </c>
    </row>
    <row r="21" spans="1:6">
      <c r="A21" s="357" t="s">
        <v>134</v>
      </c>
      <c r="B21" s="52">
        <v>10000</v>
      </c>
      <c r="C21" s="53">
        <f t="shared" si="3"/>
        <v>4000</v>
      </c>
      <c r="D21" s="54">
        <f t="shared" si="0"/>
        <v>2.5</v>
      </c>
      <c r="E21" s="55">
        <f t="shared" si="1"/>
        <v>0.41666666666666669</v>
      </c>
      <c r="F21" s="55">
        <f t="shared" si="2"/>
        <v>2.4</v>
      </c>
    </row>
    <row r="22" spans="1:6">
      <c r="A22" s="357" t="s">
        <v>135</v>
      </c>
      <c r="B22" s="52">
        <v>24000</v>
      </c>
      <c r="C22" s="53">
        <f t="shared" si="3"/>
        <v>4000</v>
      </c>
      <c r="D22" s="54">
        <f t="shared" si="0"/>
        <v>6</v>
      </c>
      <c r="E22" s="55">
        <f t="shared" si="1"/>
        <v>1</v>
      </c>
      <c r="F22" s="55">
        <f t="shared" si="2"/>
        <v>1</v>
      </c>
    </row>
    <row r="23" spans="1:6">
      <c r="A23" s="358" t="s">
        <v>142</v>
      </c>
      <c r="B23" s="52">
        <v>24000</v>
      </c>
      <c r="C23" s="53">
        <f t="shared" si="3"/>
        <v>4000</v>
      </c>
      <c r="D23" s="54">
        <f t="shared" si="0"/>
        <v>6</v>
      </c>
      <c r="E23" s="55">
        <v>1</v>
      </c>
      <c r="F23" s="55">
        <f t="shared" si="2"/>
        <v>1</v>
      </c>
    </row>
    <row r="24" spans="1:6">
      <c r="A24" s="358" t="s">
        <v>47</v>
      </c>
      <c r="B24" s="52">
        <v>8000</v>
      </c>
      <c r="C24" s="53">
        <f t="shared" si="3"/>
        <v>4000</v>
      </c>
      <c r="D24" s="54">
        <f>B24/C24</f>
        <v>2</v>
      </c>
      <c r="E24" s="55">
        <f t="shared" si="1"/>
        <v>0.33333333333333331</v>
      </c>
      <c r="F24" s="55">
        <f t="shared" si="2"/>
        <v>3</v>
      </c>
    </row>
    <row r="26" spans="1:6">
      <c r="A26" s="47" t="s">
        <v>136</v>
      </c>
    </row>
    <row r="27" spans="1:6">
      <c r="A27" s="58" t="s">
        <v>137</v>
      </c>
    </row>
  </sheetData>
  <phoneticPr fontId="20" type="noConversion"/>
  <pageMargins left="0.75" right="0.75" top="1" bottom="1" header="0.5" footer="0.5"/>
  <pageSetup scale="9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227</IR_Subtopic>
    <IR_Witness xmlns="822eb48b-4086-4975-a416-616e3b543b70">
      <UserInfo>
        <DisplayName>MCADAM, ROBIN</DisplayName>
        <AccountId>139</AccountId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POWER, LISA</DisplayName>
        <AccountId>343</AccountId>
        <AccountType/>
      </UserInfo>
    </IR_Writer>
    <IR_Context xmlns="822eb48b-4086-4975-a416-616e3b543b70">33</IR_Context>
    <IR_Status xmlns="822eb48b-4086-4975-a416-616e3b543b70">20</IR_Status>
    <IR_Review_Sort xmlns="822eb48b-4086-4975-a416-616e3b543b70">HRM IR 001-025</IR_Review_Sort>
    <IR_Requester xmlns="822eb48b-4086-4975-a416-616e3b543b70">11</IR_Reques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42A6DBE-F807-43A1-A86B-4A0A6526F5A0}"/>
</file>

<file path=customXml/itemProps2.xml><?xml version="1.0" encoding="utf-8"?>
<ds:datastoreItem xmlns:ds="http://schemas.openxmlformats.org/officeDocument/2006/customXml" ds:itemID="{F46BCE32-0CCF-4BE9-872E-AF76F745C5E6}"/>
</file>

<file path=customXml/itemProps3.xml><?xml version="1.0" encoding="utf-8"?>
<ds:datastoreItem xmlns:ds="http://schemas.openxmlformats.org/officeDocument/2006/customXml" ds:itemID="{FBDE429A-8C16-4953-9325-641C908E2D7B}"/>
</file>

<file path=customXml/itemProps4.xml><?xml version="1.0" encoding="utf-8"?>
<ds:datastoreItem xmlns:ds="http://schemas.openxmlformats.org/officeDocument/2006/customXml" ds:itemID="{10A8E029-2A74-4951-BE8A-288448342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28</vt:i4>
      </vt:variant>
    </vt:vector>
  </HeadingPairs>
  <TitlesOfParts>
    <vt:vector size="46" baseType="lpstr">
      <vt:lpstr>Schedule 1</vt:lpstr>
      <vt:lpstr>Schedule 2</vt:lpstr>
      <vt:lpstr>Schedule 3</vt:lpstr>
      <vt:lpstr>Schedule 4</vt:lpstr>
      <vt:lpstr>Schedule 5</vt:lpstr>
      <vt:lpstr>StLgt Assets</vt:lpstr>
      <vt:lpstr>Schedule 6</vt:lpstr>
      <vt:lpstr>Schedule 7</vt:lpstr>
      <vt:lpstr>Schedule 8</vt:lpstr>
      <vt:lpstr>Rates 2005 04 01</vt:lpstr>
      <vt:lpstr>Schedule 9</vt:lpstr>
      <vt:lpstr>Rates 2007 01 01</vt:lpstr>
      <vt:lpstr>2005 Stlgt Rates</vt:lpstr>
      <vt:lpstr>2006 Stlgt Rates</vt:lpstr>
      <vt:lpstr>2007 Stlgt Rates</vt:lpstr>
      <vt:lpstr>2005 Rev Analysis</vt:lpstr>
      <vt:lpstr>2006 Rev Analysis</vt:lpstr>
      <vt:lpstr>2007 Rev Analysis</vt:lpstr>
      <vt:lpstr>'2005 Rev Analysis'!Print_Area</vt:lpstr>
      <vt:lpstr>'2005 Stlgt Rates'!Print_Area</vt:lpstr>
      <vt:lpstr>'2006 Rev Analysis'!Print_Area</vt:lpstr>
      <vt:lpstr>'2006 Stlgt Rates'!Print_Area</vt:lpstr>
      <vt:lpstr>'2007 Rev Analysis'!Print_Area</vt:lpstr>
      <vt:lpstr>'2007 Stlgt Rates'!Print_Area</vt:lpstr>
      <vt:lpstr>'Rates 2005 04 01'!Print_Area</vt:lpstr>
      <vt:lpstr>'Rates 2007 01 01'!Print_Area</vt:lpstr>
      <vt:lpstr>'Schedule 1'!Print_Area</vt:lpstr>
      <vt:lpstr>'Schedule 2'!Print_Area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Print_Area</vt:lpstr>
      <vt:lpstr>'2005 Rev Analysis'!Print_Titles</vt:lpstr>
      <vt:lpstr>'2005 Stlgt Rates'!Print_Titles</vt:lpstr>
      <vt:lpstr>'2006 Rev Analysis'!Print_Titles</vt:lpstr>
      <vt:lpstr>'2006 Stlgt Rates'!Print_Titles</vt:lpstr>
      <vt:lpstr>'2007 Rev Analysis'!Print_Titles</vt:lpstr>
      <vt:lpstr>'2007 Stlgt Rates'!Print_Titles</vt:lpstr>
      <vt:lpstr>'Rates 2005 04 01'!Print_Titles</vt:lpstr>
      <vt:lpstr>'Rates 2007 01 01'!Print_Titles</vt:lpstr>
      <vt:lpstr>'Schedule 7'!Print_Titles</vt:lpstr>
      <vt:lpstr>'Schedule 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Barrie Clark/PA/NSPower</dc:creator>
  <cp:keywords/>
  <dc:description/>
  <cp:lastModifiedBy>TODD, MELISSA</cp:lastModifiedBy>
  <cp:lastPrinted>2006-07-26T13:33:49Z</cp:lastPrinted>
  <dcterms:created xsi:type="dcterms:W3CDTF">2004-09-27T18:25:34Z</dcterms:created>
  <dcterms:modified xsi:type="dcterms:W3CDTF">2012-06-18T12:42:55Z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Date="-8588610193511951733" Reason="ItemUpdated" Error=""&gt;&lt;Rule Message="" Name="Admin" /&gt;&lt;/Log&gt;</vt:lpwstr>
  </property>
  <property fmtid="{D5CDD505-2E9C-101B-9397-08002B2CF9AE}" pid="5" name="Order">
    <vt:r8>89900</vt:r8>
  </property>
</Properties>
</file>