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30" windowWidth="20730" windowHeight="5730"/>
  </bookViews>
  <sheets>
    <sheet name="DR-1" sheetId="4" r:id="rId1"/>
  </sheets>
  <definedNames>
    <definedName name="_xlnm.Print_Area" localSheetId="0">'DR-1'!$A$1:$K$86</definedName>
    <definedName name="_xlnm.Print_Titles" localSheetId="0">'DR-1'!$1:$13</definedName>
  </definedNames>
  <calcPr calcId="145621"/>
</workbook>
</file>

<file path=xl/calcChain.xml><?xml version="1.0" encoding="utf-8"?>
<calcChain xmlns="http://schemas.openxmlformats.org/spreadsheetml/2006/main">
  <c r="H72" i="4" l="1"/>
  <c r="H78" i="4"/>
  <c r="G78" i="4"/>
  <c r="H83" i="4"/>
  <c r="G84" i="4"/>
  <c r="G83" i="4"/>
  <c r="G76" i="4"/>
  <c r="G72" i="4"/>
  <c r="G71" i="4"/>
  <c r="G69" i="4"/>
  <c r="G65" i="4"/>
  <c r="G58" i="4"/>
  <c r="G52" i="4"/>
  <c r="G51" i="4"/>
  <c r="G44" i="4"/>
  <c r="C13" i="4" l="1"/>
  <c r="H51" i="4" l="1"/>
  <c r="I51" i="4"/>
  <c r="C9" i="4"/>
  <c r="H33" i="4" s="1"/>
  <c r="H40" i="4"/>
  <c r="I40" i="4"/>
  <c r="G40" i="4"/>
  <c r="G33" i="4" l="1"/>
  <c r="I33" i="4"/>
  <c r="I23" i="4" l="1"/>
  <c r="I24" i="4" s="1"/>
  <c r="I52" i="4" s="1"/>
  <c r="H23" i="4"/>
  <c r="H24" i="4" s="1"/>
  <c r="H52" i="4" s="1"/>
  <c r="G23" i="4"/>
  <c r="G24" i="4" l="1"/>
  <c r="H58" i="4"/>
  <c r="I65" i="4"/>
  <c r="I64" i="4"/>
  <c r="I63" i="4"/>
  <c r="I62" i="4"/>
  <c r="I61" i="4"/>
  <c r="I60" i="4"/>
  <c r="I59" i="4"/>
  <c r="I58" i="4"/>
  <c r="H65" i="4"/>
  <c r="H64" i="4"/>
  <c r="H63" i="4"/>
  <c r="H62" i="4"/>
  <c r="H61" i="4"/>
  <c r="H60" i="4"/>
  <c r="H59" i="4"/>
  <c r="G64" i="4"/>
  <c r="G63" i="4"/>
  <c r="G62" i="4"/>
  <c r="G61" i="4"/>
  <c r="G60" i="4"/>
  <c r="G59" i="4"/>
  <c r="G20" i="4"/>
  <c r="G25" i="4"/>
  <c r="I20" i="4"/>
  <c r="H20" i="4"/>
  <c r="H25" i="4"/>
  <c r="I25" i="4"/>
  <c r="H37" i="4" l="1"/>
  <c r="H39" i="4" s="1"/>
  <c r="G27" i="4"/>
  <c r="G31" i="4" s="1"/>
  <c r="G28" i="4"/>
  <c r="G32" i="4" s="1"/>
  <c r="I28" i="4"/>
  <c r="H28" i="4"/>
  <c r="H32" i="4" s="1"/>
  <c r="G37" i="4"/>
  <c r="G39" i="4" s="1"/>
  <c r="G41" i="4" s="1"/>
  <c r="G42" i="4" l="1"/>
  <c r="G70" i="4"/>
  <c r="G73" i="4"/>
  <c r="E59" i="4"/>
  <c r="E60" i="4"/>
  <c r="E61" i="4"/>
  <c r="E62" i="4"/>
  <c r="E63" i="4"/>
  <c r="E64" i="4"/>
  <c r="E65" i="4"/>
  <c r="E58" i="4"/>
  <c r="I45" i="4"/>
  <c r="I78" i="4" s="1"/>
  <c r="I85" i="4" s="1"/>
  <c r="H45" i="4"/>
  <c r="H85" i="4" s="1"/>
  <c r="G45" i="4"/>
  <c r="G85" i="4" s="1"/>
  <c r="G66" i="4" l="1"/>
  <c r="G77" i="4" s="1"/>
  <c r="H53" i="4"/>
  <c r="I66" i="4"/>
  <c r="H66" i="4"/>
  <c r="G53" i="4"/>
  <c r="I27" i="4"/>
  <c r="I37" i="4"/>
  <c r="I39" i="4" s="1"/>
  <c r="I32" i="4"/>
  <c r="G79" i="4" l="1"/>
  <c r="G86" i="4"/>
  <c r="I31" i="4"/>
  <c r="I71" i="4"/>
  <c r="I72" i="4" s="1"/>
  <c r="H27" i="4"/>
  <c r="G34" i="4"/>
  <c r="I34" i="4"/>
  <c r="G46" i="4"/>
  <c r="H41" i="4"/>
  <c r="H69" i="4" s="1"/>
  <c r="H70" i="4" s="1"/>
  <c r="I53" i="4"/>
  <c r="I41" i="4"/>
  <c r="H31" i="4" l="1"/>
  <c r="H71" i="4"/>
  <c r="H73" i="4" s="1"/>
  <c r="I42" i="4"/>
  <c r="I44" i="4" s="1"/>
  <c r="I69" i="4"/>
  <c r="I70" i="4" s="1"/>
  <c r="I73" i="4" s="1"/>
  <c r="I76" i="4"/>
  <c r="H42" i="4"/>
  <c r="H44" i="4" s="1"/>
  <c r="H46" i="4" l="1"/>
  <c r="H77" i="4"/>
  <c r="H84" i="4" s="1"/>
  <c r="H34" i="4"/>
  <c r="H76" i="4"/>
  <c r="I77" i="4"/>
  <c r="I84" i="4" s="1"/>
  <c r="I46" i="4"/>
  <c r="I83" i="4"/>
  <c r="I79" i="4" l="1"/>
  <c r="H79" i="4"/>
  <c r="H86" i="4"/>
  <c r="I86" i="4"/>
</calcChain>
</file>

<file path=xl/sharedStrings.xml><?xml version="1.0" encoding="utf-8"?>
<sst xmlns="http://schemas.openxmlformats.org/spreadsheetml/2006/main" count="113" uniqueCount="103">
  <si>
    <t>Scenario i)</t>
  </si>
  <si>
    <t>Scenario ii)</t>
  </si>
  <si>
    <t>Scenario iii)</t>
  </si>
  <si>
    <t>Top Up MWh delivered by NS Power in the hour</t>
  </si>
  <si>
    <t>Spill MWh received by NS Power in the hour</t>
  </si>
  <si>
    <t>Charges for Top Up MWh delivered by NS Power in the hour</t>
  </si>
  <si>
    <t>Credits for Spill MWh received by NS Power in the hour</t>
  </si>
  <si>
    <t>EBS Charges</t>
  </si>
  <si>
    <t>Standby Services Charges</t>
  </si>
  <si>
    <t>EBS Administration Charge applicable to the hour ($1053.03/730 hours)</t>
  </si>
  <si>
    <t>LWPFD</t>
  </si>
  <si>
    <r>
      <t>Customer Load on Distribution Sub. A (MW)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</si>
  <si>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CMDAF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</si>
  <si>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Min (LWPFD,CC*GC/(1+PR)</t>
  </si>
  <si>
    <t>Standby Demand Charge applicable in the hour</t>
  </si>
  <si>
    <t>Total EBS</t>
  </si>
  <si>
    <t>Total SS</t>
  </si>
  <si>
    <r>
      <t>Distribution Tariff Charges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</si>
  <si>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>Domestic</t>
  </si>
  <si>
    <t>DT rate</t>
  </si>
  <si>
    <r>
      <rPr>
        <sz val="11"/>
        <color theme="1"/>
        <rFont val="Calibri"/>
        <family val="2"/>
      </rPr>
      <t>¢</t>
    </r>
    <r>
      <rPr>
        <sz val="8.8000000000000007"/>
        <color theme="1"/>
        <rFont val="Calibri"/>
        <family val="2"/>
      </rPr>
      <t>/kWh</t>
    </r>
  </si>
  <si>
    <t>Total DT</t>
  </si>
  <si>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Includes all ancillary services</t>
    </r>
  </si>
  <si>
    <t>Sch 1</t>
  </si>
  <si>
    <t>$/MW/Month</t>
  </si>
  <si>
    <t>Sch 2</t>
  </si>
  <si>
    <t>Scheduling/Sys Control</t>
  </si>
  <si>
    <t>Reactive Supply/Voltage</t>
  </si>
  <si>
    <t>Sch 3</t>
  </si>
  <si>
    <t>Load Following</t>
  </si>
  <si>
    <t>Regulation</t>
  </si>
  <si>
    <t>Sch 5</t>
  </si>
  <si>
    <t>Spinning reserve</t>
  </si>
  <si>
    <t>Sch 6</t>
  </si>
  <si>
    <t>Op reserve 10 min.</t>
  </si>
  <si>
    <t>Op reserve 30 min.</t>
  </si>
  <si>
    <t>Sch 10</t>
  </si>
  <si>
    <t>Network Trans service</t>
  </si>
  <si>
    <t>Total OATT</t>
  </si>
  <si>
    <r>
      <t>Transmission Tariff Charges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</si>
  <si>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t>DR-1 Generator Distribution Connected</t>
  </si>
  <si>
    <t>$/MW/hr</t>
  </si>
  <si>
    <t>Top Up rate ¢/kWh</t>
  </si>
  <si>
    <t>Value</t>
  </si>
  <si>
    <t>Energy Balancing Service</t>
  </si>
  <si>
    <t>Standby Services Tariff</t>
  </si>
  <si>
    <t>GC = Generator Capacity (MW)</t>
  </si>
  <si>
    <t>PR (Planning Reserve)</t>
  </si>
  <si>
    <t>(NPCC planning criteria)</t>
  </si>
  <si>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Spill rate ¢/kWh</t>
    </r>
  </si>
  <si>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CC = capacity contribution factor</t>
    </r>
  </si>
  <si>
    <r>
      <rPr>
        <b/>
        <vertAlign val="super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Assumes renewable generator is a wind generator</t>
    </r>
  </si>
  <si>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Assumes quantities as metered at the generator output and at the distribution load.</t>
    </r>
  </si>
  <si>
    <t>Note: each scenario considered to occur in a different month</t>
  </si>
  <si>
    <t>Assumptions and Fixed Inputs</t>
  </si>
  <si>
    <t>Assumptions:</t>
  </si>
  <si>
    <t>System Ave. Loss Factor</t>
  </si>
  <si>
    <r>
      <t>Generation adjusted for losses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</si>
  <si>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Standby Services Admin. Charge applicable to the hour ($1053.03/730 hours)</t>
  </si>
  <si>
    <t>(from Table in SS Tariff)</t>
  </si>
  <si>
    <t>LRS Aggregate customer load (MWh) in the hour</t>
  </si>
  <si>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Assume Distribution connected load is 100% Domestic class</t>
    </r>
  </si>
  <si>
    <t>(from NS Power OASIS site)</t>
  </si>
  <si>
    <r>
      <t>CMPFD</t>
    </r>
    <r>
      <rPr>
        <b/>
        <vertAlign val="superscript"/>
        <sz val="11"/>
        <color theme="1"/>
        <rFont val="Calibri"/>
        <family val="2"/>
        <scheme val="minor"/>
      </rPr>
      <t>4,9</t>
    </r>
  </si>
  <si>
    <r>
      <t>CC*GC/(1+PR)</t>
    </r>
    <r>
      <rPr>
        <b/>
        <vertAlign val="superscript"/>
        <sz val="11"/>
        <color theme="1"/>
        <rFont val="Calibri"/>
        <family val="2"/>
        <scheme val="minor"/>
      </rPr>
      <t>8</t>
    </r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</si>
  <si>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Assumes each scenario considered to occur in a different month</t>
    </r>
  </si>
  <si>
    <r>
      <rPr>
        <b/>
        <vertAlign val="super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Assumes annual excess spill quantity in the range of 0%-10% of annual LRS load</t>
    </r>
  </si>
  <si>
    <r>
      <t>LRS Aggregate Load adjusted for distribution losses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</si>
  <si>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Based on LRS aggregate load in each Scenario</t>
  </si>
  <si>
    <t>Based on quantities as metered at the distribution level</t>
  </si>
  <si>
    <t>Distribution Losses</t>
  </si>
  <si>
    <t>MSCD (MW)</t>
  </si>
  <si>
    <t>(from 2014 COSS - domestic dist losses: Feb)</t>
  </si>
  <si>
    <t xml:space="preserve"> Note: EBS hourly Top-up and Spill quantities are determined at the delivery point from the transmission system</t>
  </si>
  <si>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Transmission losses assumed at 2.28% and Dist. losses assumed at 7.7%</t>
    </r>
  </si>
  <si>
    <r>
      <rPr>
        <b/>
        <vertAlign val="superscript"/>
        <sz val="1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Assume load as metered is a peak for the month and occurs in a winter month (Jan/Feb/Dec), CMDAF= 1.0</t>
    </r>
  </si>
  <si>
    <r>
      <rPr>
        <b/>
        <vertAlign val="super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 xml:space="preserve">Assumes customer load as firm load with peak occurring coincident with system firm load </t>
    </r>
  </si>
  <si>
    <r>
      <t>Renewable Generator Capacity</t>
    </r>
    <r>
      <rPr>
        <b/>
        <vertAlign val="super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</si>
  <si>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vertAlign val="super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Assumes that the Generation facility is suitable sized to meet the contracted amount of annual LRS RtR energy, i.e. GC=MSC (Maximum Spill Capacity).</t>
    </r>
  </si>
  <si>
    <r>
      <rPr>
        <b/>
        <vertAlign val="super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No Embedded Cost Recovery Charges are included in these calculations</t>
    </r>
  </si>
  <si>
    <t xml:space="preserve">Demand Charge per mo. Per kW </t>
  </si>
  <si>
    <r>
      <rPr>
        <b/>
        <vertAlign val="super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Average Domestic Customer load is 2.5 kW (Winter example)</t>
    </r>
  </si>
  <si>
    <r>
      <t>Number of Customers</t>
    </r>
    <r>
      <rPr>
        <b/>
        <vertAlign val="superscript"/>
        <sz val="11"/>
        <color theme="1"/>
        <rFont val="Calibri"/>
        <family val="2"/>
        <scheme val="minor"/>
      </rPr>
      <t>12</t>
    </r>
  </si>
  <si>
    <t xml:space="preserve">Average hours per month </t>
  </si>
  <si>
    <t>=365*24/12</t>
  </si>
  <si>
    <r>
      <t>Hourly Generation (MW)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</si>
  <si>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Fixed Customer Charge/mo./customer</t>
    </r>
    <r>
      <rPr>
        <vertAlign val="superscript"/>
        <sz val="11"/>
        <color theme="1"/>
        <rFont val="Calibri"/>
        <family val="2"/>
        <scheme val="minor"/>
      </rPr>
      <t>12</t>
    </r>
  </si>
  <si>
    <t>RTT demand charge</t>
  </si>
  <si>
    <t>RTT energy charge</t>
  </si>
  <si>
    <t>¢/kWh</t>
  </si>
  <si>
    <t>RTT, scenario</t>
  </si>
  <si>
    <t>Displaced capacity (MW)</t>
  </si>
  <si>
    <t>Demand element of charge</t>
  </si>
  <si>
    <t>Displaced energy (MWh)</t>
  </si>
  <si>
    <t>Energy element of charge</t>
  </si>
  <si>
    <t>Total RTT</t>
  </si>
  <si>
    <t>RtR charges / hr for scenario incl RTT</t>
  </si>
  <si>
    <t>Energy Charges</t>
  </si>
  <si>
    <t>Demand Charges</t>
  </si>
  <si>
    <t>Customer / LRS Charges</t>
  </si>
  <si>
    <t>Total charges /hr for scenario</t>
  </si>
  <si>
    <t>RtR charge / customer MWhr incl RTT</t>
  </si>
  <si>
    <t>Total RtR Charges /MWh incl RTT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</si>
</sst>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"/>
    <numFmt numFmtId="166" formatCode="_(&quot;$&quot;* #,##0.0000_);_(&quot;$&quot;* \(#,##0.0000\);_(&quot;$&quot;* &quot;-&quot;??_);_(@_)"/>
    <numFmt numFmtId="167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.8000000000000007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165" fontId="0" fillId="0" borderId="0" xfId="0" applyNumberForma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/>
    <xf numFmtId="165" fontId="0" fillId="0" borderId="0" xfId="0" applyNumberFormat="1" applyBorder="1" applyAlignment="1">
      <alignment horizontal="right"/>
    </xf>
    <xf numFmtId="0" fontId="0" fillId="0" borderId="4" xfId="0" applyBorder="1"/>
    <xf numFmtId="0" fontId="2" fillId="0" borderId="4" xfId="0" applyFont="1" applyFill="1" applyBorder="1" applyAlignment="1">
      <alignment horizontal="right"/>
    </xf>
    <xf numFmtId="164" fontId="0" fillId="0" borderId="4" xfId="1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2" fillId="0" borderId="6" xfId="0" applyFont="1" applyFill="1" applyBorder="1" applyAlignment="1">
      <alignment horizontal="right"/>
    </xf>
    <xf numFmtId="164" fontId="0" fillId="0" borderId="6" xfId="1" applyFont="1" applyBorder="1" applyAlignment="1">
      <alignment horizontal="right"/>
    </xf>
    <xf numFmtId="164" fontId="0" fillId="0" borderId="7" xfId="1" applyFont="1" applyBorder="1" applyAlignment="1">
      <alignment horizontal="right"/>
    </xf>
    <xf numFmtId="0" fontId="0" fillId="0" borderId="8" xfId="0" applyBorder="1"/>
    <xf numFmtId="164" fontId="0" fillId="0" borderId="9" xfId="1" applyFont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2" fillId="0" borderId="1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164" fontId="0" fillId="0" borderId="14" xfId="1" applyFont="1" applyBorder="1"/>
    <xf numFmtId="164" fontId="0" fillId="0" borderId="0" xfId="1" applyFont="1" applyBorder="1"/>
    <xf numFmtId="0" fontId="3" fillId="0" borderId="2" xfId="0" applyFont="1" applyBorder="1"/>
    <xf numFmtId="164" fontId="0" fillId="0" borderId="2" xfId="1" applyFont="1" applyBorder="1"/>
    <xf numFmtId="166" fontId="0" fillId="0" borderId="0" xfId="0" applyNumberFormat="1"/>
    <xf numFmtId="164" fontId="0" fillId="0" borderId="3" xfId="0" applyNumberFormat="1" applyBorder="1"/>
    <xf numFmtId="164" fontId="0" fillId="0" borderId="20" xfId="0" applyNumberFormat="1" applyBorder="1"/>
    <xf numFmtId="164" fontId="0" fillId="0" borderId="15" xfId="0" applyNumberFormat="1" applyBorder="1"/>
    <xf numFmtId="166" fontId="0" fillId="0" borderId="2" xfId="0" applyNumberFormat="1" applyBorder="1"/>
    <xf numFmtId="0" fontId="0" fillId="0" borderId="0" xfId="0" applyBorder="1" applyAlignment="1">
      <alignment horizontal="right"/>
    </xf>
    <xf numFmtId="166" fontId="0" fillId="0" borderId="0" xfId="0" applyNumberFormat="1" applyBorder="1"/>
    <xf numFmtId="166" fontId="0" fillId="0" borderId="14" xfId="0" applyNumberFormat="1" applyBorder="1"/>
    <xf numFmtId="0" fontId="2" fillId="0" borderId="0" xfId="0" applyFont="1" applyAlignment="1">
      <alignment horizontal="left"/>
    </xf>
    <xf numFmtId="165" fontId="2" fillId="0" borderId="0" xfId="0" applyNumberFormat="1" applyFont="1" applyBorder="1" applyAlignment="1">
      <alignment horizontal="left"/>
    </xf>
    <xf numFmtId="165" fontId="0" fillId="0" borderId="21" xfId="0" applyNumberFormat="1" applyBorder="1" applyAlignment="1">
      <alignment horizontal="center"/>
    </xf>
    <xf numFmtId="0" fontId="8" fillId="0" borderId="0" xfId="0" applyFont="1"/>
    <xf numFmtId="0" fontId="9" fillId="0" borderId="0" xfId="0" applyFont="1"/>
    <xf numFmtId="167" fontId="0" fillId="0" borderId="21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4" fontId="0" fillId="0" borderId="21" xfId="0" applyNumberFormat="1" applyBorder="1"/>
    <xf numFmtId="164" fontId="0" fillId="0" borderId="23" xfId="0" applyNumberFormat="1" applyBorder="1"/>
    <xf numFmtId="0" fontId="0" fillId="0" borderId="0" xfId="0" applyFill="1"/>
    <xf numFmtId="0" fontId="0" fillId="0" borderId="2" xfId="0" applyBorder="1" applyAlignment="1">
      <alignment horizontal="right"/>
    </xf>
    <xf numFmtId="0" fontId="0" fillId="0" borderId="14" xfId="0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/>
    <xf numFmtId="0" fontId="2" fillId="0" borderId="13" xfId="0" applyFont="1" applyFill="1" applyBorder="1" applyAlignment="1">
      <alignment horizontal="right"/>
    </xf>
    <xf numFmtId="164" fontId="2" fillId="0" borderId="14" xfId="0" applyNumberFormat="1" applyFont="1" applyFill="1" applyBorder="1"/>
    <xf numFmtId="164" fontId="2" fillId="0" borderId="15" xfId="0" applyNumberFormat="1" applyFont="1" applyFill="1" applyBorder="1"/>
    <xf numFmtId="0" fontId="0" fillId="0" borderId="1" xfId="0" applyBorder="1" applyAlignment="1"/>
    <xf numFmtId="164" fontId="0" fillId="0" borderId="27" xfId="0" applyNumberFormat="1" applyBorder="1"/>
    <xf numFmtId="0" fontId="0" fillId="0" borderId="19" xfId="0" applyBorder="1" applyAlignment="1"/>
    <xf numFmtId="0" fontId="0" fillId="0" borderId="13" xfId="0" applyBorder="1" applyAlignment="1"/>
    <xf numFmtId="0" fontId="0" fillId="0" borderId="0" xfId="0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67" fontId="0" fillId="0" borderId="0" xfId="0" applyNumberFormat="1" applyBorder="1" applyAlignment="1">
      <alignment horizontal="center"/>
    </xf>
    <xf numFmtId="0" fontId="11" fillId="0" borderId="0" xfId="0" applyFont="1" applyFill="1" applyAlignment="1">
      <alignment horizontal="left"/>
    </xf>
    <xf numFmtId="167" fontId="0" fillId="0" borderId="21" xfId="0" applyNumberForma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right"/>
    </xf>
    <xf numFmtId="9" fontId="0" fillId="0" borderId="0" xfId="0" applyNumberFormat="1" applyBorder="1"/>
    <xf numFmtId="10" fontId="0" fillId="0" borderId="0" xfId="0" applyNumberFormat="1" applyFill="1" applyBorder="1"/>
    <xf numFmtId="1" fontId="0" fillId="0" borderId="21" xfId="0" applyNumberFormat="1" applyBorder="1" applyAlignment="1">
      <alignment horizontal="center"/>
    </xf>
    <xf numFmtId="0" fontId="0" fillId="0" borderId="0" xfId="0" quotePrefix="1" applyBorder="1" applyAlignment="1">
      <alignment horizontal="right"/>
    </xf>
    <xf numFmtId="167" fontId="0" fillId="0" borderId="21" xfId="0" applyNumberFormat="1" applyBorder="1"/>
    <xf numFmtId="167" fontId="0" fillId="0" borderId="22" xfId="0" applyNumberFormat="1" applyBorder="1"/>
    <xf numFmtId="0" fontId="2" fillId="0" borderId="2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0" xfId="1" applyFont="1" applyAlignment="1">
      <alignment horizontal="right"/>
    </xf>
    <xf numFmtId="164" fontId="0" fillId="0" borderId="0" xfId="0" applyNumberFormat="1" applyFill="1"/>
    <xf numFmtId="0" fontId="2" fillId="0" borderId="0" xfId="0" applyFont="1" applyFill="1"/>
    <xf numFmtId="0" fontId="0" fillId="0" borderId="1" xfId="0" applyFill="1" applyBorder="1" applyAlignment="1">
      <alignment horizontal="left" indent="2"/>
    </xf>
    <xf numFmtId="0" fontId="0" fillId="0" borderId="2" xfId="0" applyFill="1" applyBorder="1"/>
    <xf numFmtId="0" fontId="0" fillId="0" borderId="32" xfId="0" applyFill="1" applyBorder="1"/>
    <xf numFmtId="167" fontId="0" fillId="0" borderId="27" xfId="0" applyNumberFormat="1" applyBorder="1"/>
    <xf numFmtId="167" fontId="0" fillId="0" borderId="30" xfId="0" applyNumberFormat="1" applyBorder="1"/>
    <xf numFmtId="0" fontId="0" fillId="0" borderId="33" xfId="0" applyFill="1" applyBorder="1" applyAlignment="1">
      <alignment horizontal="left" indent="2"/>
    </xf>
    <xf numFmtId="0" fontId="0" fillId="0" borderId="34" xfId="0" applyFill="1" applyBorder="1"/>
    <xf numFmtId="0" fontId="0" fillId="0" borderId="35" xfId="0" applyFill="1" applyBorder="1"/>
    <xf numFmtId="44" fontId="0" fillId="0" borderId="22" xfId="0" applyNumberFormat="1" applyBorder="1"/>
    <xf numFmtId="44" fontId="0" fillId="0" borderId="36" xfId="0" applyNumberFormat="1" applyBorder="1"/>
    <xf numFmtId="0" fontId="0" fillId="0" borderId="19" xfId="0" applyFill="1" applyBorder="1" applyAlignment="1">
      <alignment horizontal="left" indent="2"/>
    </xf>
    <xf numFmtId="0" fontId="0" fillId="0" borderId="37" xfId="0" applyFill="1" applyBorder="1"/>
    <xf numFmtId="167" fontId="0" fillId="0" borderId="38" xfId="0" applyNumberFormat="1" applyBorder="1"/>
    <xf numFmtId="0" fontId="0" fillId="0" borderId="13" xfId="0" applyFill="1" applyBorder="1" applyAlignment="1">
      <alignment horizontal="left" indent="2"/>
    </xf>
    <xf numFmtId="0" fontId="0" fillId="0" borderId="14" xfId="0" applyFill="1" applyBorder="1"/>
    <xf numFmtId="0" fontId="0" fillId="0" borderId="39" xfId="0" applyFill="1" applyBorder="1"/>
    <xf numFmtId="44" fontId="0" fillId="0" borderId="23" xfId="0" applyNumberFormat="1" applyBorder="1"/>
    <xf numFmtId="44" fontId="0" fillId="0" borderId="31" xfId="0" applyNumberFormat="1" applyBorder="1"/>
    <xf numFmtId="0" fontId="0" fillId="0" borderId="0" xfId="0" applyBorder="1" applyAlignment="1">
      <alignment horizontal="left" indent="2"/>
    </xf>
    <xf numFmtId="0" fontId="2" fillId="0" borderId="16" xfId="0" applyFont="1" applyBorder="1" applyAlignment="1">
      <alignment horizontal="right"/>
    </xf>
    <xf numFmtId="164" fontId="0" fillId="0" borderId="17" xfId="0" applyNumberFormat="1" applyBorder="1"/>
    <xf numFmtId="164" fontId="0" fillId="0" borderId="18" xfId="0" applyNumberFormat="1" applyBorder="1"/>
    <xf numFmtId="0" fontId="2" fillId="0" borderId="0" xfId="0" applyFont="1" applyFill="1" applyBorder="1" applyAlignment="1">
      <alignment horizontal="left"/>
    </xf>
    <xf numFmtId="44" fontId="0" fillId="0" borderId="2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0" fillId="0" borderId="20" xfId="0" applyNumberFormat="1" applyBorder="1"/>
    <xf numFmtId="0" fontId="2" fillId="0" borderId="0" xfId="0" applyFont="1" applyFill="1" applyBorder="1" applyAlignment="1">
      <alignment horizontal="right" indent="2"/>
    </xf>
    <xf numFmtId="44" fontId="2" fillId="0" borderId="17" xfId="0" applyNumberFormat="1" applyFont="1" applyBorder="1"/>
    <xf numFmtId="44" fontId="2" fillId="0" borderId="18" xfId="0" applyNumberFormat="1" applyFont="1" applyBorder="1"/>
    <xf numFmtId="0" fontId="2" fillId="0" borderId="0" xfId="0" applyFont="1" applyFill="1" applyBorder="1" applyAlignment="1">
      <alignment horizontal="left" indent="2"/>
    </xf>
    <xf numFmtId="44" fontId="0" fillId="0" borderId="14" xfId="0" applyNumberFormat="1" applyBorder="1"/>
    <xf numFmtId="44" fontId="0" fillId="0" borderId="15" xfId="0" applyNumberFormat="1" applyBorder="1"/>
    <xf numFmtId="164" fontId="0" fillId="0" borderId="28" xfId="1" applyNumberFormat="1" applyFont="1" applyFill="1" applyBorder="1"/>
    <xf numFmtId="164" fontId="0" fillId="0" borderId="29" xfId="0" applyNumberFormat="1" applyBorder="1"/>
    <xf numFmtId="164" fontId="0" fillId="0" borderId="31" xfId="0" applyNumberFormat="1" applyBorder="1"/>
    <xf numFmtId="44" fontId="2" fillId="0" borderId="13" xfId="0" applyNumberFormat="1" applyFont="1" applyBorder="1"/>
    <xf numFmtId="44" fontId="2" fillId="0" borderId="14" xfId="0" applyNumberFormat="1" applyFont="1" applyBorder="1"/>
    <xf numFmtId="44" fontId="2" fillId="0" borderId="15" xfId="0" applyNumberFormat="1" applyFont="1" applyBorder="1"/>
    <xf numFmtId="0" fontId="0" fillId="0" borderId="19" xfId="0" applyBorder="1"/>
    <xf numFmtId="167" fontId="0" fillId="0" borderId="36" xfId="0" applyNumberFormat="1" applyBorder="1"/>
    <xf numFmtId="0" fontId="0" fillId="0" borderId="20" xfId="0" applyBorder="1"/>
    <xf numFmtId="164" fontId="0" fillId="0" borderId="20" xfId="1" applyFont="1" applyBorder="1"/>
    <xf numFmtId="164" fontId="0" fillId="0" borderId="15" xfId="1" applyFont="1" applyBorder="1"/>
    <xf numFmtId="0" fontId="2" fillId="0" borderId="25" xfId="0" applyFont="1" applyBorder="1" applyAlignment="1">
      <alignment horizontal="left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zoomScale="70" zoomScaleNormal="70" workbookViewId="0">
      <selection activeCell="L52" sqref="L52"/>
    </sheetView>
  </sheetViews>
  <sheetFormatPr defaultRowHeight="15" x14ac:dyDescent="0.25"/>
  <cols>
    <col min="1" max="1" width="32.140625" customWidth="1"/>
    <col min="2" max="2" width="40.5703125" customWidth="1"/>
    <col min="3" max="3" width="16.7109375" customWidth="1"/>
    <col min="4" max="5" width="15.7109375" customWidth="1"/>
    <col min="6" max="6" width="28.28515625" customWidth="1"/>
    <col min="7" max="9" width="18.7109375" customWidth="1"/>
    <col min="10" max="11" width="17.85546875" customWidth="1"/>
  </cols>
  <sheetData>
    <row r="1" spans="1:10" ht="18.75" x14ac:dyDescent="0.3">
      <c r="A1" s="46" t="s">
        <v>40</v>
      </c>
      <c r="B1" s="46"/>
      <c r="C1" s="46"/>
      <c r="E1" s="45" t="s">
        <v>55</v>
      </c>
    </row>
    <row r="2" spans="1:10" ht="17.25" x14ac:dyDescent="0.25">
      <c r="A2" s="70" t="s">
        <v>54</v>
      </c>
      <c r="B2" s="5"/>
      <c r="C2" s="71" t="s">
        <v>43</v>
      </c>
      <c r="E2" s="42" t="s">
        <v>65</v>
      </c>
    </row>
    <row r="3" spans="1:10" ht="17.25" x14ac:dyDescent="0.25">
      <c r="A3" s="6" t="s">
        <v>44</v>
      </c>
      <c r="B3" s="39" t="s">
        <v>42</v>
      </c>
      <c r="C3" s="72">
        <v>9.9589999999999996</v>
      </c>
      <c r="E3" s="67" t="s">
        <v>74</v>
      </c>
    </row>
    <row r="4" spans="1:10" ht="17.25" x14ac:dyDescent="0.25">
      <c r="A4" s="6" t="s">
        <v>44</v>
      </c>
      <c r="B4" s="39" t="s">
        <v>49</v>
      </c>
      <c r="C4" s="72">
        <v>5.27</v>
      </c>
      <c r="E4" s="42" t="s">
        <v>52</v>
      </c>
      <c r="F4" s="51"/>
      <c r="G4" s="51"/>
      <c r="H4" s="51"/>
    </row>
    <row r="5" spans="1:10" ht="17.25" x14ac:dyDescent="0.25">
      <c r="A5" s="6" t="s">
        <v>45</v>
      </c>
      <c r="B5" s="64" t="s">
        <v>46</v>
      </c>
      <c r="C5" s="73">
        <v>1</v>
      </c>
      <c r="E5" s="43" t="s">
        <v>75</v>
      </c>
    </row>
    <row r="6" spans="1:10" ht="17.25" x14ac:dyDescent="0.25">
      <c r="A6" s="6" t="s">
        <v>45</v>
      </c>
      <c r="B6" s="39" t="s">
        <v>50</v>
      </c>
      <c r="C6" s="72">
        <v>0.17</v>
      </c>
      <c r="E6" s="43" t="s">
        <v>61</v>
      </c>
    </row>
    <row r="7" spans="1:10" ht="17.25" x14ac:dyDescent="0.25">
      <c r="A7" s="6" t="s">
        <v>45</v>
      </c>
      <c r="B7" s="64" t="s">
        <v>80</v>
      </c>
      <c r="C7" s="84">
        <v>5.37</v>
      </c>
      <c r="D7" s="5"/>
      <c r="E7" s="43" t="s">
        <v>22</v>
      </c>
    </row>
    <row r="8" spans="1:10" ht="17.25" x14ac:dyDescent="0.25">
      <c r="A8" s="6" t="s">
        <v>47</v>
      </c>
      <c r="B8" s="39" t="s">
        <v>48</v>
      </c>
      <c r="C8" s="74">
        <v>0.2</v>
      </c>
      <c r="E8" s="10" t="s">
        <v>66</v>
      </c>
    </row>
    <row r="9" spans="1:10" ht="17.25" x14ac:dyDescent="0.25">
      <c r="A9" s="6" t="s">
        <v>83</v>
      </c>
      <c r="B9" s="77" t="s">
        <v>84</v>
      </c>
      <c r="C9" s="5">
        <f>365*24/12</f>
        <v>730</v>
      </c>
      <c r="E9" s="8" t="s">
        <v>51</v>
      </c>
    </row>
    <row r="10" spans="1:10" ht="17.25" x14ac:dyDescent="0.25">
      <c r="A10" s="9" t="s">
        <v>56</v>
      </c>
      <c r="B10" s="64" t="s">
        <v>62</v>
      </c>
      <c r="C10" s="75">
        <v>2.2800000000000001E-2</v>
      </c>
      <c r="E10" s="55" t="s">
        <v>76</v>
      </c>
    </row>
    <row r="11" spans="1:10" ht="17.25" x14ac:dyDescent="0.25">
      <c r="A11" s="9" t="s">
        <v>70</v>
      </c>
      <c r="B11" s="65" t="s">
        <v>72</v>
      </c>
      <c r="C11" s="75">
        <v>7.6999999999999999E-2</v>
      </c>
      <c r="E11" s="55" t="s">
        <v>78</v>
      </c>
    </row>
    <row r="12" spans="1:10" ht="17.25" x14ac:dyDescent="0.25">
      <c r="B12" s="6"/>
      <c r="E12" s="55" t="s">
        <v>79</v>
      </c>
      <c r="F12" s="51"/>
      <c r="G12" s="51"/>
      <c r="H12" s="51"/>
      <c r="I12" s="51"/>
      <c r="J12" s="51"/>
    </row>
    <row r="13" spans="1:10" ht="16.149999999999999" x14ac:dyDescent="0.3">
      <c r="A13" s="9" t="s">
        <v>87</v>
      </c>
      <c r="B13" s="64" t="s">
        <v>80</v>
      </c>
      <c r="C13" s="85">
        <f>C7</f>
        <v>5.37</v>
      </c>
      <c r="E13" s="55" t="s">
        <v>81</v>
      </c>
    </row>
    <row r="14" spans="1:10" x14ac:dyDescent="0.25">
      <c r="A14" s="9" t="s">
        <v>88</v>
      </c>
      <c r="B14" s="64" t="s">
        <v>89</v>
      </c>
      <c r="C14" s="51">
        <v>3.3090000000000002</v>
      </c>
      <c r="E14" s="55"/>
    </row>
    <row r="15" spans="1:10" ht="20.25" customHeight="1" x14ac:dyDescent="0.25">
      <c r="B15" s="5"/>
      <c r="G15" s="132" t="s">
        <v>40</v>
      </c>
      <c r="H15" s="133"/>
      <c r="I15" s="134"/>
    </row>
    <row r="16" spans="1:10" ht="27.75" customHeight="1" x14ac:dyDescent="0.25">
      <c r="B16" s="6"/>
      <c r="G16" s="131" t="s">
        <v>53</v>
      </c>
      <c r="H16" s="131"/>
      <c r="I16" s="131"/>
    </row>
    <row r="17" spans="1:9" x14ac:dyDescent="0.25">
      <c r="B17" s="8"/>
      <c r="C17" s="8"/>
      <c r="G17" s="3" t="s">
        <v>0</v>
      </c>
      <c r="H17" s="3" t="s">
        <v>1</v>
      </c>
      <c r="I17" s="3" t="s">
        <v>2</v>
      </c>
    </row>
    <row r="18" spans="1:9" ht="17.25" x14ac:dyDescent="0.25">
      <c r="A18" s="2"/>
      <c r="B18" s="2"/>
      <c r="C18" s="2"/>
      <c r="F18" s="69" t="s">
        <v>77</v>
      </c>
      <c r="G18" s="44">
        <v>1</v>
      </c>
      <c r="H18" s="44">
        <v>1</v>
      </c>
      <c r="I18" s="44">
        <v>1</v>
      </c>
    </row>
    <row r="19" spans="1:9" ht="17.25" x14ac:dyDescent="0.25">
      <c r="A19" s="2"/>
      <c r="B19" s="2"/>
      <c r="C19" s="2"/>
      <c r="F19" s="4" t="s">
        <v>85</v>
      </c>
      <c r="G19" s="44">
        <v>0.5</v>
      </c>
      <c r="H19" s="44">
        <v>1</v>
      </c>
      <c r="I19" s="44">
        <v>1</v>
      </c>
    </row>
    <row r="20" spans="1:9" ht="17.25" x14ac:dyDescent="0.25">
      <c r="F20" s="54" t="s">
        <v>57</v>
      </c>
      <c r="G20" s="47">
        <f>G19/(1+$C$10)</f>
        <v>0.48885412592882288</v>
      </c>
      <c r="H20" s="47">
        <f>H19/(1+$C$10)</f>
        <v>0.97770825185764576</v>
      </c>
      <c r="I20" s="47">
        <f>I19/(1+$C$10)</f>
        <v>0.97770825185764576</v>
      </c>
    </row>
    <row r="21" spans="1:9" x14ac:dyDescent="0.25">
      <c r="F21" s="54"/>
      <c r="G21" s="47"/>
      <c r="H21" s="47"/>
      <c r="I21" s="47"/>
    </row>
    <row r="22" spans="1:9" ht="16.149999999999999" x14ac:dyDescent="0.3">
      <c r="A22" s="8"/>
      <c r="C22" s="8"/>
      <c r="F22" s="4" t="s">
        <v>11</v>
      </c>
      <c r="G22" s="44">
        <v>1</v>
      </c>
      <c r="H22" s="44">
        <v>0.5</v>
      </c>
      <c r="I22" s="44">
        <v>1</v>
      </c>
    </row>
    <row r="23" spans="1:9" ht="16.149999999999999" x14ac:dyDescent="0.3">
      <c r="A23" s="2"/>
      <c r="C23" s="2"/>
      <c r="F23" s="4" t="s">
        <v>67</v>
      </c>
      <c r="G23" s="68">
        <f>G22*(1+$C$11)</f>
        <v>1.077</v>
      </c>
      <c r="H23" s="68">
        <f>H22*(1+$C$11)</f>
        <v>0.53849999999999998</v>
      </c>
      <c r="I23" s="68">
        <f>I22*(1+$C$11)</f>
        <v>1.077</v>
      </c>
    </row>
    <row r="24" spans="1:9" ht="16.149999999999999" x14ac:dyDescent="0.3">
      <c r="A24" s="7"/>
      <c r="C24" s="7"/>
      <c r="F24" s="4" t="s">
        <v>82</v>
      </c>
      <c r="G24" s="76">
        <f>G23/2.5*1000</f>
        <v>430.79999999999995</v>
      </c>
      <c r="H24" s="76">
        <f t="shared" ref="H24:I24" si="0">H23/2.5*1000</f>
        <v>215.39999999999998</v>
      </c>
      <c r="I24" s="76">
        <f t="shared" si="0"/>
        <v>430.79999999999995</v>
      </c>
    </row>
    <row r="25" spans="1:9" ht="14.45" x14ac:dyDescent="0.3">
      <c r="A25" s="7"/>
      <c r="C25" s="7"/>
      <c r="F25" s="9" t="s">
        <v>60</v>
      </c>
      <c r="G25" s="47">
        <f>G23</f>
        <v>1.077</v>
      </c>
      <c r="H25" s="47">
        <f t="shared" ref="H25:I25" si="1">H23</f>
        <v>0.53849999999999998</v>
      </c>
      <c r="I25" s="47">
        <f t="shared" si="1"/>
        <v>1.077</v>
      </c>
    </row>
    <row r="26" spans="1:9" ht="14.45" x14ac:dyDescent="0.3">
      <c r="A26" s="7"/>
      <c r="B26" s="7"/>
      <c r="C26" s="7"/>
      <c r="F26" s="11"/>
      <c r="G26" s="47"/>
      <c r="H26" s="47"/>
      <c r="I26" s="47"/>
    </row>
    <row r="27" spans="1:9" ht="14.45" x14ac:dyDescent="0.3">
      <c r="A27" s="7"/>
      <c r="F27" s="9" t="s">
        <v>3</v>
      </c>
      <c r="G27" s="47">
        <f>IF(G25-G20&gt;=0,G25-G20,0)</f>
        <v>0.58814587407117713</v>
      </c>
      <c r="H27" s="47">
        <f>IF(H25-H20&gt;=0,H25-H20,0)</f>
        <v>0</v>
      </c>
      <c r="I27" s="47">
        <f>IF(I25-I20&gt;=0,I25-I20,0)</f>
        <v>9.9291748142354197E-2</v>
      </c>
    </row>
    <row r="28" spans="1:9" ht="14.45" x14ac:dyDescent="0.3">
      <c r="A28" s="7"/>
      <c r="B28" s="7"/>
      <c r="C28" s="7"/>
      <c r="F28" s="9" t="s">
        <v>4</v>
      </c>
      <c r="G28" s="48">
        <f>IF(G25-G20&lt;0,G25-G20,0)</f>
        <v>0</v>
      </c>
      <c r="H28" s="48">
        <f>IF(H25-H20&lt;0,H25-H20,0)</f>
        <v>-0.43920825185764578</v>
      </c>
      <c r="I28" s="48">
        <f>IF(I25-I20&lt;0,I25-I20,0)</f>
        <v>0</v>
      </c>
    </row>
    <row r="29" spans="1:9" ht="14.45" x14ac:dyDescent="0.3">
      <c r="A29" s="7"/>
      <c r="B29" s="7"/>
      <c r="C29" s="7"/>
      <c r="F29" s="9"/>
      <c r="G29" s="66"/>
      <c r="H29" s="66"/>
      <c r="I29" s="66"/>
    </row>
    <row r="30" spans="1:9" ht="16.5" thickBot="1" x14ac:dyDescent="0.3">
      <c r="A30" s="10">
        <v>1</v>
      </c>
      <c r="B30" s="25" t="s">
        <v>7</v>
      </c>
      <c r="C30" s="7"/>
      <c r="D30" s="10" t="s">
        <v>73</v>
      </c>
    </row>
    <row r="31" spans="1:9" x14ac:dyDescent="0.25">
      <c r="B31" s="26"/>
      <c r="C31" s="27"/>
      <c r="D31" s="15"/>
      <c r="E31" s="16"/>
      <c r="F31" s="17" t="s">
        <v>5</v>
      </c>
      <c r="G31" s="18">
        <f t="shared" ref="G31:I32" si="2">$C3*G27*1000/100</f>
        <v>58.573447598748537</v>
      </c>
      <c r="H31" s="18">
        <f t="shared" si="2"/>
        <v>0</v>
      </c>
      <c r="I31" s="19">
        <f t="shared" si="2"/>
        <v>9.8884651974970534</v>
      </c>
    </row>
    <row r="32" spans="1:9" x14ac:dyDescent="0.25">
      <c r="B32" s="126"/>
      <c r="C32" s="5"/>
      <c r="D32" s="20"/>
      <c r="E32" s="12"/>
      <c r="F32" s="13" t="s">
        <v>6</v>
      </c>
      <c r="G32" s="14">
        <f t="shared" si="2"/>
        <v>0</v>
      </c>
      <c r="H32" s="14">
        <f t="shared" si="2"/>
        <v>-23.14627487289793</v>
      </c>
      <c r="I32" s="21">
        <f t="shared" si="2"/>
        <v>0</v>
      </c>
    </row>
    <row r="33" spans="1:9" ht="15.75" thickBot="1" x14ac:dyDescent="0.3">
      <c r="B33" s="28"/>
      <c r="C33" s="29"/>
      <c r="D33" s="22"/>
      <c r="E33" s="23"/>
      <c r="F33" s="24" t="s">
        <v>9</v>
      </c>
      <c r="G33" s="82">
        <f>1053.03/$C9</f>
        <v>1.4425068493150686</v>
      </c>
      <c r="H33" s="82">
        <f t="shared" ref="H33:I33" si="3">1053.03/$C9</f>
        <v>1.4425068493150686</v>
      </c>
      <c r="I33" s="83">
        <f t="shared" si="3"/>
        <v>1.4425068493150686</v>
      </c>
    </row>
    <row r="34" spans="1:9" ht="15.75" thickBot="1" x14ac:dyDescent="0.3">
      <c r="F34" s="57" t="s">
        <v>15</v>
      </c>
      <c r="G34" s="58">
        <f>SUM(G31:G33)</f>
        <v>60.015954448063603</v>
      </c>
      <c r="H34" s="58">
        <f>SUM(H31:H33)</f>
        <v>-21.70376802358286</v>
      </c>
      <c r="I34" s="59">
        <f t="shared" ref="I34" si="4">SUM(I31:I33)</f>
        <v>11.330972046812121</v>
      </c>
    </row>
    <row r="35" spans="1:9" x14ac:dyDescent="0.25">
      <c r="C35" s="1"/>
    </row>
    <row r="36" spans="1:9" ht="16.5" thickBot="1" x14ac:dyDescent="0.3">
      <c r="A36" s="10">
        <v>2</v>
      </c>
      <c r="B36" s="25" t="s">
        <v>8</v>
      </c>
      <c r="F36" s="4"/>
    </row>
    <row r="37" spans="1:9" ht="17.25" x14ac:dyDescent="0.25">
      <c r="B37" s="26"/>
      <c r="C37" s="27"/>
      <c r="D37" s="27"/>
      <c r="E37" s="27"/>
      <c r="F37" s="80" t="s">
        <v>63</v>
      </c>
      <c r="G37" s="90">
        <f>G25</f>
        <v>1.077</v>
      </c>
      <c r="H37" s="90">
        <f>H25</f>
        <v>0.53849999999999998</v>
      </c>
      <c r="I37" s="91">
        <f>I25</f>
        <v>1.077</v>
      </c>
    </row>
    <row r="38" spans="1:9" ht="17.25" x14ac:dyDescent="0.25">
      <c r="B38" s="126"/>
      <c r="C38" s="5"/>
      <c r="D38" s="5"/>
      <c r="E38" s="39" t="s">
        <v>59</v>
      </c>
      <c r="F38" s="6" t="s">
        <v>12</v>
      </c>
      <c r="G38" s="78">
        <v>1</v>
      </c>
      <c r="H38" s="78">
        <v>1</v>
      </c>
      <c r="I38" s="99">
        <v>1</v>
      </c>
    </row>
    <row r="39" spans="1:9" x14ac:dyDescent="0.25">
      <c r="B39" s="126"/>
      <c r="C39" s="5"/>
      <c r="D39" s="5"/>
      <c r="E39" s="5"/>
      <c r="F39" s="6" t="s">
        <v>10</v>
      </c>
      <c r="G39" s="78">
        <f>G37*G38</f>
        <v>1.077</v>
      </c>
      <c r="H39" s="78">
        <f>H37*H38</f>
        <v>0.53849999999999998</v>
      </c>
      <c r="I39" s="99">
        <f t="shared" ref="I39" si="5">I37*I38</f>
        <v>1.077</v>
      </c>
    </row>
    <row r="40" spans="1:9" ht="17.25" x14ac:dyDescent="0.25">
      <c r="B40" s="126"/>
      <c r="C40" s="5"/>
      <c r="D40" s="5"/>
      <c r="E40" s="5"/>
      <c r="F40" s="6" t="s">
        <v>64</v>
      </c>
      <c r="G40" s="78">
        <f>$C$6*G18/(1+$C8)</f>
        <v>0.14166666666666669</v>
      </c>
      <c r="H40" s="78">
        <f t="shared" ref="H40:I40" si="6">$C$6*H18/(1+$C8)</f>
        <v>0.14166666666666669</v>
      </c>
      <c r="I40" s="99">
        <f t="shared" si="6"/>
        <v>0.14166666666666669</v>
      </c>
    </row>
    <row r="41" spans="1:9" x14ac:dyDescent="0.25">
      <c r="B41" s="126"/>
      <c r="C41" s="5"/>
      <c r="D41" s="5"/>
      <c r="E41" s="5"/>
      <c r="F41" s="6" t="s">
        <v>13</v>
      </c>
      <c r="G41" s="78">
        <f>MIN(G39:G40)</f>
        <v>0.14166666666666669</v>
      </c>
      <c r="H41" s="78">
        <f t="shared" ref="H41:I41" si="7">MIN(H39:H40)</f>
        <v>0.14166666666666669</v>
      </c>
      <c r="I41" s="99">
        <f t="shared" si="7"/>
        <v>0.14166666666666669</v>
      </c>
    </row>
    <row r="42" spans="1:9" x14ac:dyDescent="0.25">
      <c r="B42" s="126"/>
      <c r="C42" s="5"/>
      <c r="D42" s="5"/>
      <c r="E42" s="5"/>
      <c r="F42" s="6" t="s">
        <v>71</v>
      </c>
      <c r="G42" s="79">
        <f>G39-G41</f>
        <v>0.93533333333333324</v>
      </c>
      <c r="H42" s="79">
        <f>H39-H41</f>
        <v>0.39683333333333326</v>
      </c>
      <c r="I42" s="127">
        <f t="shared" ref="I42" si="8">I39-I41</f>
        <v>0.93533333333333324</v>
      </c>
    </row>
    <row r="43" spans="1:9" x14ac:dyDescent="0.25">
      <c r="B43" s="126"/>
      <c r="C43" s="5"/>
      <c r="D43" s="5"/>
      <c r="E43" s="5"/>
      <c r="F43" s="5"/>
      <c r="G43" s="5"/>
      <c r="H43" s="5"/>
      <c r="I43" s="128"/>
    </row>
    <row r="44" spans="1:9" x14ac:dyDescent="0.25">
      <c r="B44" s="126"/>
      <c r="C44" s="5"/>
      <c r="D44" s="5"/>
      <c r="E44" s="5"/>
      <c r="F44" s="6" t="s">
        <v>14</v>
      </c>
      <c r="G44" s="31">
        <f>G42*1000/730*$C7</f>
        <v>6.8804657534246569</v>
      </c>
      <c r="H44" s="31">
        <f t="shared" ref="H44:I44" si="9">H42*1000/730*$C7</f>
        <v>2.9191712328767121</v>
      </c>
      <c r="I44" s="129">
        <f t="shared" si="9"/>
        <v>6.8804657534246569</v>
      </c>
    </row>
    <row r="45" spans="1:9" ht="15.75" thickBot="1" x14ac:dyDescent="0.3">
      <c r="B45" s="28"/>
      <c r="C45" s="29"/>
      <c r="D45" s="29"/>
      <c r="E45" s="29"/>
      <c r="F45" s="81" t="s">
        <v>58</v>
      </c>
      <c r="G45" s="30">
        <f>1053.03/730</f>
        <v>1.4425068493150686</v>
      </c>
      <c r="H45" s="30">
        <f t="shared" ref="H45:I45" si="10">1053.03/730</f>
        <v>1.4425068493150686</v>
      </c>
      <c r="I45" s="130">
        <f t="shared" si="10"/>
        <v>1.4425068493150686</v>
      </c>
    </row>
    <row r="46" spans="1:9" ht="15.75" thickBot="1" x14ac:dyDescent="0.3">
      <c r="F46" s="57" t="s">
        <v>16</v>
      </c>
      <c r="G46" s="58">
        <f>SUM(G44:G45)</f>
        <v>8.3229726027397248</v>
      </c>
      <c r="H46" s="58">
        <f t="shared" ref="H46:I46" si="11">SUM(H44:H45)</f>
        <v>4.3616780821917809</v>
      </c>
      <c r="I46" s="59">
        <f t="shared" si="11"/>
        <v>8.3229726027397248</v>
      </c>
    </row>
    <row r="49" spans="1:9" ht="18" thickBot="1" x14ac:dyDescent="0.3">
      <c r="A49" s="10">
        <v>3</v>
      </c>
      <c r="B49" s="10" t="s">
        <v>17</v>
      </c>
    </row>
    <row r="50" spans="1:9" ht="15.75" thickBot="1" x14ac:dyDescent="0.3">
      <c r="G50" s="138" t="s">
        <v>69</v>
      </c>
      <c r="H50" s="139"/>
      <c r="I50" s="140"/>
    </row>
    <row r="51" spans="1:9" x14ac:dyDescent="0.25">
      <c r="B51" s="26"/>
      <c r="C51" s="27" t="s">
        <v>18</v>
      </c>
      <c r="D51" s="52" t="s">
        <v>19</v>
      </c>
      <c r="E51" s="27">
        <v>2.5489999999999999</v>
      </c>
      <c r="F51" s="32" t="s">
        <v>20</v>
      </c>
      <c r="G51" s="120">
        <f>G22*1000*$E$51/100</f>
        <v>25.49</v>
      </c>
      <c r="H51" s="120">
        <f t="shared" ref="H51:I51" si="12">H22*1000*$E$51/100</f>
        <v>12.744999999999999</v>
      </c>
      <c r="I51" s="120">
        <f t="shared" si="12"/>
        <v>25.49</v>
      </c>
    </row>
    <row r="52" spans="1:9" ht="18" thickBot="1" x14ac:dyDescent="0.3">
      <c r="B52" s="28"/>
      <c r="C52" s="29"/>
      <c r="D52" s="53" t="s">
        <v>86</v>
      </c>
      <c r="E52" s="30">
        <v>10.83</v>
      </c>
      <c r="F52" s="29"/>
      <c r="G52" s="121">
        <f>G24*$E52/$C9</f>
        <v>6.3911835616438344</v>
      </c>
      <c r="H52" s="50">
        <f>H24*$E52/$C9</f>
        <v>3.1955917808219172</v>
      </c>
      <c r="I52" s="122">
        <f>I24*$E52/$C9</f>
        <v>6.3911835616438344</v>
      </c>
    </row>
    <row r="53" spans="1:9" ht="15.75" thickBot="1" x14ac:dyDescent="0.3">
      <c r="B53" s="5"/>
      <c r="C53" s="5"/>
      <c r="D53" s="5"/>
      <c r="E53" s="5"/>
      <c r="F53" s="57" t="s">
        <v>21</v>
      </c>
      <c r="G53" s="58">
        <f>SUM(G51:G52)</f>
        <v>31.881183561643834</v>
      </c>
      <c r="H53" s="58">
        <f>SUM(H51:H52)</f>
        <v>15.940591780821917</v>
      </c>
      <c r="I53" s="59">
        <f>SUM(I51:I52)</f>
        <v>31.881183561643834</v>
      </c>
    </row>
    <row r="56" spans="1:9" ht="18" thickBot="1" x14ac:dyDescent="0.3">
      <c r="A56" s="10">
        <v>4</v>
      </c>
      <c r="B56" s="10" t="s">
        <v>39</v>
      </c>
      <c r="D56" s="5"/>
    </row>
    <row r="57" spans="1:9" ht="15.75" thickBot="1" x14ac:dyDescent="0.3">
      <c r="D57" s="39" t="s">
        <v>24</v>
      </c>
      <c r="E57" s="1" t="s">
        <v>41</v>
      </c>
      <c r="G57" s="135" t="s">
        <v>68</v>
      </c>
      <c r="H57" s="136"/>
      <c r="I57" s="137"/>
    </row>
    <row r="58" spans="1:9" x14ac:dyDescent="0.25">
      <c r="B58" s="60" t="s">
        <v>26</v>
      </c>
      <c r="C58" s="27" t="s">
        <v>23</v>
      </c>
      <c r="D58" s="33">
        <v>353.98</v>
      </c>
      <c r="E58" s="38">
        <f>D58/730</f>
        <v>0.48490410958904112</v>
      </c>
      <c r="F58" s="27"/>
      <c r="G58" s="61">
        <f>$D58*G$23/730</f>
        <v>0.52224172602739727</v>
      </c>
      <c r="H58" s="61">
        <f>$D58*H$23/730</f>
        <v>0.26112086301369863</v>
      </c>
      <c r="I58" s="35">
        <f>$D58*I$23/730</f>
        <v>0.52224172602739727</v>
      </c>
    </row>
    <row r="59" spans="1:9" x14ac:dyDescent="0.25">
      <c r="B59" s="62" t="s">
        <v>27</v>
      </c>
      <c r="C59" s="5" t="s">
        <v>25</v>
      </c>
      <c r="D59" s="31">
        <v>182.76</v>
      </c>
      <c r="E59" s="40">
        <f t="shared" ref="E59:E65" si="13">D59/730</f>
        <v>0.25035616438356162</v>
      </c>
      <c r="F59" s="5"/>
      <c r="G59" s="49">
        <f t="shared" ref="G59:I65" si="14">$D59*G$23/730</f>
        <v>0.26963358904109586</v>
      </c>
      <c r="H59" s="49">
        <f t="shared" si="14"/>
        <v>0.13481679452054793</v>
      </c>
      <c r="I59" s="36">
        <f t="shared" si="14"/>
        <v>0.26963358904109586</v>
      </c>
    </row>
    <row r="60" spans="1:9" x14ac:dyDescent="0.25">
      <c r="B60" s="62" t="s">
        <v>30</v>
      </c>
      <c r="C60" s="5" t="s">
        <v>28</v>
      </c>
      <c r="D60" s="31">
        <v>217.06</v>
      </c>
      <c r="E60" s="40">
        <f t="shared" si="13"/>
        <v>0.29734246575342466</v>
      </c>
      <c r="F60" s="5"/>
      <c r="G60" s="49">
        <f t="shared" si="14"/>
        <v>0.32023783561643837</v>
      </c>
      <c r="H60" s="49">
        <f t="shared" si="14"/>
        <v>0.16011891780821919</v>
      </c>
      <c r="I60" s="36">
        <f t="shared" si="14"/>
        <v>0.32023783561643837</v>
      </c>
    </row>
    <row r="61" spans="1:9" x14ac:dyDescent="0.25">
      <c r="B61" s="62" t="s">
        <v>29</v>
      </c>
      <c r="C61" s="5" t="s">
        <v>28</v>
      </c>
      <c r="D61" s="31">
        <v>776.85</v>
      </c>
      <c r="E61" s="40">
        <f t="shared" si="13"/>
        <v>1.0641780821917808</v>
      </c>
      <c r="F61" s="5"/>
      <c r="G61" s="49">
        <f t="shared" si="14"/>
        <v>1.1461197945205479</v>
      </c>
      <c r="H61" s="49">
        <f t="shared" si="14"/>
        <v>0.57305989726027395</v>
      </c>
      <c r="I61" s="36">
        <f t="shared" si="14"/>
        <v>1.1461197945205479</v>
      </c>
    </row>
    <row r="62" spans="1:9" x14ac:dyDescent="0.25">
      <c r="B62" s="62" t="s">
        <v>32</v>
      </c>
      <c r="C62" s="5" t="s">
        <v>31</v>
      </c>
      <c r="D62" s="31">
        <v>166.58</v>
      </c>
      <c r="E62" s="40">
        <f t="shared" si="13"/>
        <v>0.22819178082191782</v>
      </c>
      <c r="F62" s="5"/>
      <c r="G62" s="49">
        <f t="shared" si="14"/>
        <v>0.2457625479452055</v>
      </c>
      <c r="H62" s="49">
        <f t="shared" si="14"/>
        <v>0.12288127397260275</v>
      </c>
      <c r="I62" s="36">
        <f t="shared" si="14"/>
        <v>0.2457625479452055</v>
      </c>
    </row>
    <row r="63" spans="1:9" x14ac:dyDescent="0.25">
      <c r="B63" s="62" t="s">
        <v>34</v>
      </c>
      <c r="C63" s="5" t="s">
        <v>33</v>
      </c>
      <c r="D63" s="31">
        <v>331.83</v>
      </c>
      <c r="E63" s="40">
        <f t="shared" si="13"/>
        <v>0.45456164383561642</v>
      </c>
      <c r="F63" s="5"/>
      <c r="G63" s="49">
        <f t="shared" si="14"/>
        <v>0.48956289041095885</v>
      </c>
      <c r="H63" s="49">
        <f t="shared" si="14"/>
        <v>0.24478144520547943</v>
      </c>
      <c r="I63" s="36">
        <f t="shared" si="14"/>
        <v>0.48956289041095885</v>
      </c>
    </row>
    <row r="64" spans="1:9" x14ac:dyDescent="0.25">
      <c r="B64" s="62" t="s">
        <v>35</v>
      </c>
      <c r="C64" s="5" t="s">
        <v>33</v>
      </c>
      <c r="D64" s="31">
        <v>281.23</v>
      </c>
      <c r="E64" s="40">
        <f t="shared" si="13"/>
        <v>0.38524657534246576</v>
      </c>
      <c r="F64" s="5"/>
      <c r="G64" s="49">
        <f t="shared" si="14"/>
        <v>0.41491056164383561</v>
      </c>
      <c r="H64" s="49">
        <f t="shared" si="14"/>
        <v>0.2074552808219178</v>
      </c>
      <c r="I64" s="36">
        <f t="shared" si="14"/>
        <v>0.41491056164383561</v>
      </c>
    </row>
    <row r="65" spans="1:9" ht="15.75" thickBot="1" x14ac:dyDescent="0.3">
      <c r="B65" s="63" t="s">
        <v>37</v>
      </c>
      <c r="C65" s="29" t="s">
        <v>36</v>
      </c>
      <c r="D65" s="30">
        <v>4241.21</v>
      </c>
      <c r="E65" s="41">
        <f t="shared" si="13"/>
        <v>5.8098767123287676</v>
      </c>
      <c r="F65" s="29"/>
      <c r="G65" s="50">
        <f>$D65*G$23/730</f>
        <v>6.2572372191780818</v>
      </c>
      <c r="H65" s="50">
        <f t="shared" si="14"/>
        <v>3.1286186095890409</v>
      </c>
      <c r="I65" s="37">
        <f t="shared" si="14"/>
        <v>6.2572372191780818</v>
      </c>
    </row>
    <row r="66" spans="1:9" ht="15.75" thickBot="1" x14ac:dyDescent="0.3">
      <c r="F66" s="57" t="s">
        <v>38</v>
      </c>
      <c r="G66" s="58">
        <f>SUM(G58:G65)</f>
        <v>9.6657061643835611</v>
      </c>
      <c r="H66" s="58">
        <f t="shared" ref="H66:I66" si="15">SUM(H58:H65)</f>
        <v>4.8328530821917806</v>
      </c>
      <c r="I66" s="59">
        <f t="shared" si="15"/>
        <v>9.6657061643835611</v>
      </c>
    </row>
    <row r="67" spans="1:9" x14ac:dyDescent="0.25">
      <c r="F67" s="9"/>
      <c r="G67" s="56"/>
      <c r="H67" s="56"/>
      <c r="I67" s="56"/>
    </row>
    <row r="68" spans="1:9" ht="15.75" thickBot="1" x14ac:dyDescent="0.3">
      <c r="A68" s="10">
        <v>5</v>
      </c>
      <c r="B68" s="86" t="s">
        <v>90</v>
      </c>
      <c r="C68" s="51"/>
      <c r="D68" s="51"/>
      <c r="E68" s="51"/>
      <c r="F68" s="51"/>
      <c r="G68" s="34"/>
      <c r="H68" s="34"/>
      <c r="I68" s="34"/>
    </row>
    <row r="69" spans="1:9" x14ac:dyDescent="0.25">
      <c r="B69" s="87" t="s">
        <v>91</v>
      </c>
      <c r="C69" s="88"/>
      <c r="D69" s="88"/>
      <c r="E69" s="88"/>
      <c r="F69" s="89"/>
      <c r="G69" s="90">
        <f>G41</f>
        <v>0.14166666666666669</v>
      </c>
      <c r="H69" s="90">
        <f>H41</f>
        <v>0.14166666666666669</v>
      </c>
      <c r="I69" s="91">
        <f>I41</f>
        <v>0.14166666666666669</v>
      </c>
    </row>
    <row r="70" spans="1:9" x14ac:dyDescent="0.25">
      <c r="B70" s="92" t="s">
        <v>92</v>
      </c>
      <c r="C70" s="93"/>
      <c r="D70" s="93"/>
      <c r="E70" s="93"/>
      <c r="F70" s="94"/>
      <c r="G70" s="95">
        <f>G69*1000*$C$13/730</f>
        <v>1.042123287671233</v>
      </c>
      <c r="H70" s="95">
        <f t="shared" ref="H70" si="16">H69*1000*$C$13/730</f>
        <v>1.042123287671233</v>
      </c>
      <c r="I70" s="96">
        <f>I69*1000*$C$13/730</f>
        <v>1.042123287671233</v>
      </c>
    </row>
    <row r="71" spans="1:9" x14ac:dyDescent="0.25">
      <c r="B71" s="97" t="s">
        <v>93</v>
      </c>
      <c r="C71" s="72"/>
      <c r="D71" s="72"/>
      <c r="E71" s="72"/>
      <c r="F71" s="98"/>
      <c r="G71" s="78">
        <f>G25-G27</f>
        <v>0.48885412592882282</v>
      </c>
      <c r="H71" s="78">
        <f>H25-H27</f>
        <v>0.53849999999999998</v>
      </c>
      <c r="I71" s="99">
        <f>I25-I27</f>
        <v>0.97770825185764576</v>
      </c>
    </row>
    <row r="72" spans="1:9" ht="15.75" thickBot="1" x14ac:dyDescent="0.3">
      <c r="B72" s="100" t="s">
        <v>94</v>
      </c>
      <c r="C72" s="101"/>
      <c r="D72" s="101"/>
      <c r="E72" s="101"/>
      <c r="F72" s="102"/>
      <c r="G72" s="103">
        <f>G71*1000*$C$14/100</f>
        <v>16.176183026984749</v>
      </c>
      <c r="H72" s="103">
        <f>H71*1000*$C$14/100</f>
        <v>17.818965000000002</v>
      </c>
      <c r="I72" s="104">
        <f>I71*1000*$C$14/100</f>
        <v>32.352366053969497</v>
      </c>
    </row>
    <row r="73" spans="1:9" ht="15.75" thickBot="1" x14ac:dyDescent="0.3">
      <c r="B73" s="105"/>
      <c r="C73" s="5"/>
      <c r="D73" s="5"/>
      <c r="E73" s="5"/>
      <c r="F73" s="106" t="s">
        <v>95</v>
      </c>
      <c r="G73" s="107">
        <f>G72+G70</f>
        <v>17.218306314655983</v>
      </c>
      <c r="H73" s="107">
        <f t="shared" ref="H73:I73" si="17">H72+H70</f>
        <v>18.861088287671237</v>
      </c>
      <c r="I73" s="108">
        <f t="shared" si="17"/>
        <v>33.394489341640728</v>
      </c>
    </row>
    <row r="74" spans="1:9" x14ac:dyDescent="0.25">
      <c r="F74" s="9"/>
      <c r="G74" s="56"/>
      <c r="H74" s="56"/>
      <c r="I74" s="56"/>
    </row>
    <row r="75" spans="1:9" ht="15.75" thickBot="1" x14ac:dyDescent="0.3">
      <c r="A75" s="10">
        <v>6</v>
      </c>
      <c r="B75" s="109" t="s">
        <v>96</v>
      </c>
      <c r="C75" s="5"/>
      <c r="D75" s="5"/>
      <c r="E75" s="5"/>
      <c r="F75" s="5"/>
      <c r="G75" s="5"/>
      <c r="H75" s="5"/>
      <c r="I75" s="5"/>
    </row>
    <row r="76" spans="1:9" x14ac:dyDescent="0.25">
      <c r="B76" s="87" t="s">
        <v>97</v>
      </c>
      <c r="C76" s="27"/>
      <c r="D76" s="27"/>
      <c r="E76" s="27"/>
      <c r="F76" s="27"/>
      <c r="G76" s="110">
        <f>G31+G32+G51+G72</f>
        <v>100.23963062573328</v>
      </c>
      <c r="H76" s="110">
        <f>H31+H32+H51+H72</f>
        <v>7.4176901271020714</v>
      </c>
      <c r="I76" s="111">
        <f>I31+I32+I51+I72</f>
        <v>67.730831251466554</v>
      </c>
    </row>
    <row r="77" spans="1:9" x14ac:dyDescent="0.25">
      <c r="B77" s="97" t="s">
        <v>98</v>
      </c>
      <c r="C77" s="5"/>
      <c r="D77" s="5"/>
      <c r="E77" s="5"/>
      <c r="F77" s="5"/>
      <c r="G77" s="112">
        <f>G44+G66+G70</f>
        <v>17.588295205479451</v>
      </c>
      <c r="H77" s="112">
        <f>H44+H66+H70</f>
        <v>8.7941476027397254</v>
      </c>
      <c r="I77" s="113">
        <f>I44+I66+I70</f>
        <v>17.588295205479451</v>
      </c>
    </row>
    <row r="78" spans="1:9" ht="15.75" thickBot="1" x14ac:dyDescent="0.3">
      <c r="B78" s="100" t="s">
        <v>99</v>
      </c>
      <c r="C78" s="29"/>
      <c r="D78" s="29"/>
      <c r="E78" s="29"/>
      <c r="F78" s="5"/>
      <c r="G78" s="112">
        <f>G33+G45+G52</f>
        <v>9.2761972602739711</v>
      </c>
      <c r="H78" s="112">
        <f>H33+H45+H52</f>
        <v>6.0806054794520543</v>
      </c>
      <c r="I78" s="113">
        <f>I33+I45+I52</f>
        <v>9.2761972602739711</v>
      </c>
    </row>
    <row r="79" spans="1:9" ht="15.75" thickBot="1" x14ac:dyDescent="0.3">
      <c r="B79" s="114" t="s">
        <v>100</v>
      </c>
      <c r="C79" s="5"/>
      <c r="D79" s="5"/>
      <c r="E79" s="5"/>
      <c r="F79" s="106"/>
      <c r="G79" s="115">
        <f>SUM(G76:G78)</f>
        <v>127.10412309148671</v>
      </c>
      <c r="H79" s="115">
        <f t="shared" ref="H79:I79" si="18">SUM(H76:H78)</f>
        <v>22.29244320929385</v>
      </c>
      <c r="I79" s="116">
        <f t="shared" si="18"/>
        <v>94.595323717219983</v>
      </c>
    </row>
    <row r="80" spans="1:9" ht="12" customHeight="1" x14ac:dyDescent="0.25">
      <c r="B80" s="117"/>
      <c r="C80" s="5"/>
      <c r="D80" s="5"/>
      <c r="E80" s="5"/>
      <c r="F80" s="6"/>
      <c r="G80" s="112"/>
      <c r="H80" s="112"/>
      <c r="I80" s="112"/>
    </row>
    <row r="81" spans="1:11" ht="10.5" customHeight="1" x14ac:dyDescent="0.25">
      <c r="B81" s="117"/>
      <c r="C81" s="5"/>
      <c r="D81" s="5"/>
      <c r="E81" s="5"/>
      <c r="F81" s="6"/>
      <c r="G81" s="112"/>
      <c r="H81" s="112"/>
      <c r="I81" s="112"/>
    </row>
    <row r="82" spans="1:11" ht="15.75" thickBot="1" x14ac:dyDescent="0.3">
      <c r="A82" s="10">
        <v>7</v>
      </c>
      <c r="B82" s="109" t="s">
        <v>101</v>
      </c>
      <c r="C82" s="5"/>
      <c r="D82" s="5"/>
      <c r="E82" s="5"/>
      <c r="F82" s="5"/>
      <c r="G82" s="112"/>
      <c r="H82" s="112"/>
      <c r="I82" s="112"/>
    </row>
    <row r="83" spans="1:11" x14ac:dyDescent="0.25">
      <c r="B83" s="87" t="s">
        <v>97</v>
      </c>
      <c r="C83" s="27"/>
      <c r="D83" s="27"/>
      <c r="E83" s="27"/>
      <c r="F83" s="27"/>
      <c r="G83" s="110">
        <f>G76/G$22</f>
        <v>100.23963062573328</v>
      </c>
      <c r="H83" s="110">
        <f>H76/H$22</f>
        <v>14.835380254204143</v>
      </c>
      <c r="I83" s="111">
        <f t="shared" ref="I83" si="19">I76/I$22</f>
        <v>67.730831251466554</v>
      </c>
    </row>
    <row r="84" spans="1:11" x14ac:dyDescent="0.25">
      <c r="B84" s="97" t="s">
        <v>98</v>
      </c>
      <c r="C84" s="5"/>
      <c r="D84" s="5"/>
      <c r="E84" s="5"/>
      <c r="F84" s="5"/>
      <c r="G84" s="112">
        <f>G77/G$22</f>
        <v>17.588295205479451</v>
      </c>
      <c r="H84" s="112">
        <f t="shared" ref="H84:I84" si="20">H77/H$22</f>
        <v>17.588295205479451</v>
      </c>
      <c r="I84" s="113">
        <f t="shared" si="20"/>
        <v>17.588295205479451</v>
      </c>
    </row>
    <row r="85" spans="1:11" ht="15.75" thickBot="1" x14ac:dyDescent="0.3">
      <c r="B85" s="100" t="s">
        <v>99</v>
      </c>
      <c r="C85" s="29"/>
      <c r="D85" s="29"/>
      <c r="E85" s="29"/>
      <c r="F85" s="29"/>
      <c r="G85" s="118">
        <f>G78/G$22</f>
        <v>9.2761972602739711</v>
      </c>
      <c r="H85" s="118">
        <f>H78/H$22</f>
        <v>12.161210958904109</v>
      </c>
      <c r="I85" s="119">
        <f>I78/I$22</f>
        <v>9.2761972602739711</v>
      </c>
    </row>
    <row r="86" spans="1:11" ht="15.75" thickBot="1" x14ac:dyDescent="0.3">
      <c r="B86" s="6" t="s">
        <v>102</v>
      </c>
      <c r="C86" s="5"/>
      <c r="D86" s="5"/>
      <c r="E86" s="5"/>
      <c r="G86" s="123">
        <f>SUM(G83:G85)</f>
        <v>127.10412309148671</v>
      </c>
      <c r="H86" s="124">
        <f t="shared" ref="H86:I86" si="21">SUM(H83:H85)</f>
        <v>44.584886418587701</v>
      </c>
      <c r="I86" s="125">
        <f t="shared" si="21"/>
        <v>94.595323717219983</v>
      </c>
    </row>
    <row r="89" spans="1:11" x14ac:dyDescent="0.25">
      <c r="G89" s="34"/>
      <c r="H89" s="34"/>
      <c r="I89" s="34"/>
    </row>
    <row r="90" spans="1:11" x14ac:dyDescent="0.25">
      <c r="H90" s="9"/>
      <c r="I90" s="56"/>
      <c r="J90" s="56"/>
      <c r="K90" s="56"/>
    </row>
  </sheetData>
  <mergeCells count="4">
    <mergeCell ref="G16:I16"/>
    <mergeCell ref="G15:I15"/>
    <mergeCell ref="G57:I57"/>
    <mergeCell ref="G50:I50"/>
  </mergeCells>
  <pageMargins left="0.7" right="0.7" top="0.75" bottom="0.75" header="0.3" footer="0.3"/>
  <pageSetup paperSize="17" scale="82" fitToHeight="0" orientation="landscape" r:id="rId1"/>
  <rowBreaks count="1" manualBreakCount="1">
    <brk id="47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_Requester xmlns="41f3e0a1-4e80-4541-910a-bf1ec6557a72">42</IR_Requester>
    <IR_Topic xmlns="41f3e0a1-4e80-4541-910a-bf1ec6557a72">24</IR_Topic>
    <IR_Sorting xmlns="41f3e0a1-4e80-4541-910a-bf1ec6557a72">01 Received</IR_Sorting>
    <IR_Description xmlns="41f3e0a1-4e80-4541-910a-bf1ec6557a72">Update SWFI DR-01 and -02 with latest rates and tariffs </IR_Description>
    <IR_Filing_Date xmlns="41f3e0a1-4e80-4541-910a-bf1ec6557a72" xsi:nil="true"/>
    <IR_Status xmlns="41f3e0a1-4e80-4541-910a-bf1ec6557a72">31</IR_Status>
    <IR_Owner xmlns="41f3e0a1-4e80-4541-910a-bf1ec6557a72">ELLIS, BILL</IR_Owner>
    <IR_Received_Date xmlns="41f3e0a1-4e80-4541-910a-bf1ec6557a72" xsi:nil="true"/>
    <IR_Subtopic xmlns="41f3e0a1-4e80-4541-910a-bf1ec6557a72">242</IR_Subtopic>
    <IR_x002d_Writer xmlns="41f3e0a1-4e80-4541-910a-bf1ec6557a72">CHARLTON, JOHN</IR_x002d_Writ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CA43651B6D44DB2E987BE979031C4" ma:contentTypeVersion="13" ma:contentTypeDescription="Create a new document." ma:contentTypeScope="" ma:versionID="1d2c6061b22c416835971d1d5f7588b9">
  <xsd:schema xmlns:xsd="http://www.w3.org/2001/XMLSchema" xmlns:xs="http://www.w3.org/2001/XMLSchema" xmlns:p="http://schemas.microsoft.com/office/2006/metadata/properties" xmlns:ns2="41f3e0a1-4e80-4541-910a-bf1ec6557a72" targetNamespace="http://schemas.microsoft.com/office/2006/metadata/properties" ma:root="true" ma:fieldsID="ae5b8b010e7a0c478bfddd2785b4eb64" ns2:_="">
    <xsd:import namespace="41f3e0a1-4e80-4541-910a-bf1ec6557a72"/>
    <xsd:element name="properties">
      <xsd:complexType>
        <xsd:sequence>
          <xsd:element name="documentManagement">
            <xsd:complexType>
              <xsd:all>
                <xsd:element ref="ns2:IR_Status" minOccurs="0"/>
                <xsd:element ref="ns2:IR_Description" minOccurs="0"/>
                <xsd:element ref="ns2:IR_Filing_Date" minOccurs="0"/>
                <xsd:element ref="ns2:IR_Requester" minOccurs="0"/>
                <xsd:element ref="ns2:IR_x002d_Writer" minOccurs="0"/>
                <xsd:element ref="ns2:IR_Owner" minOccurs="0"/>
                <xsd:element ref="ns2:IR_Received_Date" minOccurs="0"/>
                <xsd:element ref="ns2:IR_Sorting" minOccurs="0"/>
                <xsd:element ref="ns2:IR_Topic" minOccurs="0"/>
                <xsd:element ref="ns2:IR_Sub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3e0a1-4e80-4541-910a-bf1ec6557a72" elementFormDefault="qualified">
    <xsd:import namespace="http://schemas.microsoft.com/office/2006/documentManagement/types"/>
    <xsd:import namespace="http://schemas.microsoft.com/office/infopath/2007/PartnerControls"/>
    <xsd:element name="IR_Status" ma:index="2" nillable="true" ma:displayName="Status_" ma:description="Default is: 02A Writers - Write" ma:list="{b45a5fc1-7f3d-4118-9252-18046df1b90a}" ma:internalName="IR_Status" ma:showField="Title">
      <xsd:simpleType>
        <xsd:restriction base="dms:Lookup"/>
      </xsd:simpleType>
    </xsd:element>
    <xsd:element name="IR_Description" ma:index="3" nillable="true" ma:displayName="IR_Description" ma:internalName="IR_Description">
      <xsd:simpleType>
        <xsd:restriction base="dms:Note">
          <xsd:maxLength value="255"/>
        </xsd:restriction>
      </xsd:simpleType>
    </xsd:element>
    <xsd:element name="IR_Filing_Date" ma:index="4" nillable="true" ma:displayName="IR_Filing_Date" ma:description="Default value to be modified to reflect date the IRs are to be filed" ma:format="DateOnly" ma:internalName="IR_Filing_Date">
      <xsd:simpleType>
        <xsd:restriction base="dms:DateTime"/>
      </xsd:simpleType>
    </xsd:element>
    <xsd:element name="IR_Requester" ma:index="5" nillable="true" ma:displayName="IR_Requester" ma:description="Indicate the Organization that requested the IR when uploading documents or attachments." ma:list="{07b79d5f-e075-49b8-abde-d53636412323}" ma:internalName="IR_Requester" ma:showField="Title">
      <xsd:simpleType>
        <xsd:restriction base="dms:Lookup"/>
      </xsd:simpleType>
    </xsd:element>
    <xsd:element name="IR_x002d_Writer" ma:index="6" nillable="true" ma:displayName="IR_Writer" ma:description="Indicate the Writer when uploading documents or attachments" ma:format="Dropdown" ma:internalName="IR_x002d_Writer">
      <xsd:simpleType>
        <xsd:union memberTypes="dms:Text">
          <xsd:simpleType>
            <xsd:restriction base="dms:Choice">
              <xsd:enumeration value="(select...)"/>
              <xsd:enumeration value="CARY, ROB"/>
              <xsd:enumeration value="CHARLTON, JOHN"/>
              <xsd:enumeration value="CURRY, BRIAN"/>
              <xsd:enumeration value="ELLIS, BILL"/>
              <xsd:enumeration value="FERGUSON, ERIC"/>
              <xsd:enumeration value="GRUS, VOYTEK"/>
              <xsd:enumeration value="KELLY, DAVE"/>
              <xsd:enumeration value="LEFLER, LINDA"/>
              <xsd:enumeration value="MACKILLOP, IAN"/>
              <xsd:enumeration value="MILLIGAN, CHRIS"/>
              <xsd:enumeration value="MILOJEVIC, MILA"/>
              <xsd:enumeration value="PECURICA, DRAGAN"/>
              <xsd:enumeration value="VAN VUREN, ZAK"/>
            </xsd:restriction>
          </xsd:simpleType>
        </xsd:union>
      </xsd:simpleType>
    </xsd:element>
    <xsd:element name="IR_Owner" ma:index="7" nillable="true" ma:displayName="IR_Owner" ma:description="Indicate the Owner when uploading documents or attachments; revise for each proceeding" ma:format="Dropdown" ma:internalName="IR_Owner">
      <xsd:simpleType>
        <xsd:restriction base="dms:Choice">
          <xsd:enumeration value="(select...)"/>
          <xsd:enumeration value="CASEY, PAUL"/>
          <xsd:enumeration value="CURRY, BRIAN"/>
          <xsd:enumeration value="ELLIS, BILL"/>
          <xsd:enumeration value="FERGUSON, ERIC"/>
          <xsd:enumeration value="IRVING, SASHA"/>
          <xsd:enumeration value="PARKER, JENNIFER"/>
        </xsd:restriction>
      </xsd:simpleType>
    </xsd:element>
    <xsd:element name="IR_Received_Date" ma:index="8" nillable="true" ma:displayName="IR_Received_Date" ma:description="Default value to be modified to reflect date the IRs are received" ma:format="DateOnly" ma:internalName="IR_Received_Date">
      <xsd:simpleType>
        <xsd:restriction base="dms:DateTime"/>
      </xsd:simpleType>
    </xsd:element>
    <xsd:element name="IR_Sorting" ma:index="9" nillable="true" ma:displayName="IR_Sorting" ma:default="completed by RA" ma:description="Completed by RA." ma:format="Dropdown" ma:internalName="IR_Sorting">
      <xsd:simpleType>
        <xsd:restriction base="dms:Choice">
          <xsd:enumeration value="completed by RA"/>
          <xsd:enumeration value="01 Received"/>
          <xsd:enumeration value="12 Filed"/>
          <xsd:enumeration value="IR 001-025"/>
          <xsd:enumeration value="IR 026-050"/>
          <xsd:enumeration value="IR 051-075"/>
          <xsd:enumeration value="IR 076-100"/>
          <xsd:enumeration value="IR 101-125"/>
          <xsd:enumeration value="IR 126-150"/>
          <xsd:enumeration value="IR 151-175"/>
          <xsd:enumeration value="IR 176-200"/>
        </xsd:restriction>
      </xsd:simpleType>
    </xsd:element>
    <xsd:element name="IR_Topic" ma:index="10" nillable="true" ma:displayName="IR_Topic" ma:list="{c529b047-0ec8-424a-816e-063d99ea71b7}" ma:internalName="IR_Topic" ma:showField="Title">
      <xsd:simpleType>
        <xsd:restriction base="dms:Lookup"/>
      </xsd:simpleType>
    </xsd:element>
    <xsd:element name="IR_Subtopic" ma:index="11" nillable="true" ma:displayName="IR_Subtopic" ma:list="{1f382bfa-7888-4b77-9bc7-dccb2f111d82}" ma:internalName="IR_Subtopic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6E095BD8-C8DF-454D-953E-9436F744B03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7EFAC95-C50A-4CBC-AD04-77B8884176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686FAA-C51C-42EB-B86C-3855C732B1F8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1f3e0a1-4e80-4541-910a-bf1ec6557a72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0A53115-0BD8-4D4A-8721-7DB169893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3e0a1-4e80-4541-910a-bf1ec6557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725615D-16E6-4E03-9627-989180BDACAF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DR-1</vt:lpstr>
      <vt:lpstr>'DR-1'!Print_Area</vt:lpstr>
      <vt:lpstr>'DR-1'!Print_Titles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DR-1 Update of Summary Charges</dc:title>
  <dc:creator>Ellis, Bill</dc:creator>
  <cp:lastModifiedBy>SUTHERLAND, LAURA</cp:lastModifiedBy>
  <cp:lastPrinted>2015-09-30T12:47:46Z</cp:lastPrinted>
  <dcterms:created xsi:type="dcterms:W3CDTF">2015-06-25T14:55:28Z</dcterms:created>
  <dcterms:modified xsi:type="dcterms:W3CDTF">2015-10-08T19:01:46Z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0x010100809CA43651B6D44DB2E987BE979031C4</vt:lpwstr>
  </property>
  <property fmtid="{D5CDD505-2E9C-101B-9397-08002B2CF9AE}" pid="3" name="Order">
    <vt:r8>7900</vt:r8>
  </property>
</Properties>
</file>