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6360"/>
  </bookViews>
  <sheets>
    <sheet name="DR-2" sheetId="1" r:id="rId1"/>
  </sheets>
  <definedNames>
    <definedName name="_xlnm.Print_Area" localSheetId="0">'DR-2'!$A$1:$K$90</definedName>
    <definedName name="_xlnm.Print_Titles" localSheetId="0">'DR-2'!$1:$13</definedName>
  </definedNames>
  <calcPr calcId="145621"/>
</workbook>
</file>

<file path=xl/calcChain.xml><?xml version="1.0" encoding="utf-8"?>
<calcChain xmlns="http://schemas.openxmlformats.org/spreadsheetml/2006/main">
  <c r="G89" i="1" l="1"/>
  <c r="G88" i="1"/>
  <c r="G87" i="1"/>
  <c r="G86" i="1"/>
  <c r="G81" i="1"/>
  <c r="G80" i="1"/>
  <c r="G79" i="1"/>
  <c r="G74" i="1"/>
  <c r="G73" i="1"/>
  <c r="G54" i="1"/>
  <c r="G53" i="1"/>
  <c r="G44" i="1"/>
  <c r="G42" i="1"/>
  <c r="G39" i="1"/>
  <c r="G35" i="1"/>
  <c r="G33" i="1"/>
  <c r="I88" i="1" l="1"/>
  <c r="H88" i="1"/>
  <c r="I87" i="1"/>
  <c r="H87" i="1"/>
  <c r="I86" i="1"/>
  <c r="H86" i="1"/>
  <c r="C13" i="1" l="1"/>
  <c r="H42" i="1" l="1"/>
  <c r="I42" i="1"/>
  <c r="H35" i="1"/>
  <c r="C9" i="1"/>
  <c r="I35" i="1" s="1"/>
  <c r="I21" i="1" l="1"/>
  <c r="H21" i="1"/>
  <c r="I26" i="1" l="1"/>
  <c r="G21" i="1"/>
  <c r="I27" i="1" l="1"/>
  <c r="I53" i="1"/>
  <c r="I64" i="1" l="1"/>
  <c r="I60" i="1"/>
  <c r="I61" i="1"/>
  <c r="I65" i="1"/>
  <c r="I62" i="1"/>
  <c r="I66" i="1"/>
  <c r="I63" i="1"/>
  <c r="I67" i="1"/>
  <c r="I28" i="1"/>
  <c r="I30" i="1"/>
  <c r="E61" i="1"/>
  <c r="E62" i="1"/>
  <c r="E63" i="1"/>
  <c r="E64" i="1"/>
  <c r="E65" i="1"/>
  <c r="E66" i="1"/>
  <c r="E67" i="1"/>
  <c r="E60" i="1"/>
  <c r="H26" i="1"/>
  <c r="H27" i="1" l="1"/>
  <c r="H53" i="1"/>
  <c r="I68" i="1"/>
  <c r="H39" i="1" l="1"/>
  <c r="H63" i="1"/>
  <c r="H62" i="1"/>
  <c r="H66" i="1"/>
  <c r="H61" i="1"/>
  <c r="H65" i="1"/>
  <c r="H60" i="1"/>
  <c r="H64" i="1"/>
  <c r="H28" i="1"/>
  <c r="H67" i="1"/>
  <c r="H30" i="1"/>
  <c r="I47" i="1"/>
  <c r="H47" i="1"/>
  <c r="G47" i="1"/>
  <c r="H68" i="1" l="1"/>
  <c r="G26" i="1"/>
  <c r="G27" i="1" l="1"/>
  <c r="H41" i="1"/>
  <c r="H43" i="1" s="1"/>
  <c r="H29" i="1"/>
  <c r="I39" i="1"/>
  <c r="I41" i="1" s="1"/>
  <c r="I29" i="1"/>
  <c r="I34" i="1"/>
  <c r="H34" i="1"/>
  <c r="H33" i="1" l="1"/>
  <c r="H74" i="1"/>
  <c r="H75" i="1" s="1"/>
  <c r="H76" i="1" s="1"/>
  <c r="H44" i="1"/>
  <c r="H46" i="1" s="1"/>
  <c r="H72" i="1"/>
  <c r="H73" i="1" s="1"/>
  <c r="I33" i="1"/>
  <c r="I74" i="1"/>
  <c r="I75" i="1" s="1"/>
  <c r="G60" i="1"/>
  <c r="G28" i="1"/>
  <c r="H54" i="1" s="1"/>
  <c r="H81" i="1" s="1"/>
  <c r="G62" i="1"/>
  <c r="G66" i="1"/>
  <c r="G61" i="1"/>
  <c r="G63" i="1"/>
  <c r="G65" i="1"/>
  <c r="G67" i="1"/>
  <c r="G64" i="1"/>
  <c r="G29" i="1"/>
  <c r="G75" i="1" s="1"/>
  <c r="G30" i="1"/>
  <c r="G34" i="1" s="1"/>
  <c r="I43" i="1"/>
  <c r="G41" i="1"/>
  <c r="G43" i="1" s="1"/>
  <c r="G72" i="1" s="1"/>
  <c r="I36" i="1"/>
  <c r="H36" i="1"/>
  <c r="G76" i="1" l="1"/>
  <c r="H80" i="1"/>
  <c r="H48" i="1"/>
  <c r="I79" i="1"/>
  <c r="H79" i="1"/>
  <c r="I44" i="1"/>
  <c r="I46" i="1" s="1"/>
  <c r="I72" i="1"/>
  <c r="I73" i="1" s="1"/>
  <c r="H55" i="1"/>
  <c r="I54" i="1"/>
  <c r="G68" i="1"/>
  <c r="I48" i="1"/>
  <c r="G55" i="1" l="1"/>
  <c r="G36" i="1"/>
  <c r="I55" i="1"/>
  <c r="I81" i="1"/>
  <c r="I80" i="1"/>
  <c r="I76" i="1"/>
  <c r="H89" i="1"/>
  <c r="H82" i="1"/>
  <c r="G46" i="1"/>
  <c r="I89" i="1" l="1"/>
  <c r="G48" i="1"/>
  <c r="I82" i="1"/>
  <c r="G82" i="1" l="1"/>
</calcChain>
</file>

<file path=xl/sharedStrings.xml><?xml version="1.0" encoding="utf-8"?>
<sst xmlns="http://schemas.openxmlformats.org/spreadsheetml/2006/main" count="116" uniqueCount="106">
  <si>
    <t>Scenario i)</t>
  </si>
  <si>
    <t>Scenario ii)</t>
  </si>
  <si>
    <t>Scenario iii)</t>
  </si>
  <si>
    <t>DR-2 Generator Transmission connected</t>
  </si>
  <si>
    <t>Top Up MWh delivered by NS Power in the hour</t>
  </si>
  <si>
    <t>Spill MWh received by NS Power in the hour</t>
  </si>
  <si>
    <t>Charges for Top Up MWh delivered by NS Power in the hour</t>
  </si>
  <si>
    <t>Credits for Spill MWh received by NS Power in the hour</t>
  </si>
  <si>
    <t>EBS Charges</t>
  </si>
  <si>
    <t>Standby Services Charges</t>
  </si>
  <si>
    <t>LRS Aggregate customer load MWh in the hour</t>
  </si>
  <si>
    <t>EBS Administration Charge applicable to the hour ($1053.03/730 hours)</t>
  </si>
  <si>
    <t>LWPFD</t>
  </si>
  <si>
    <r>
      <t>CMDAF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</si>
  <si>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Min (LWPFD,CC*GC/(1+PR)</t>
  </si>
  <si>
    <t>Standby Demand Charge applicable in the hour</t>
  </si>
  <si>
    <t>Standby Services Administration Charge applicable to the hour ($1053.03/730 hours)</t>
  </si>
  <si>
    <t>Total EBS</t>
  </si>
  <si>
    <t>Total SS</t>
  </si>
  <si>
    <r>
      <t>Distribution Tariff Charges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</si>
  <si>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Domestic</t>
  </si>
  <si>
    <t>DT rate</t>
  </si>
  <si>
    <r>
      <rPr>
        <sz val="11"/>
        <color theme="1"/>
        <rFont val="Calibri"/>
        <family val="2"/>
      </rPr>
      <t>¢</t>
    </r>
    <r>
      <rPr>
        <sz val="8.8000000000000007"/>
        <color theme="1"/>
        <rFont val="Calibri"/>
        <family val="2"/>
      </rPr>
      <t>/kWh</t>
    </r>
  </si>
  <si>
    <t>Total DT</t>
  </si>
  <si>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Includes all ancillary services</t>
    </r>
  </si>
  <si>
    <t>Sch 1</t>
  </si>
  <si>
    <t>$/MW/Month</t>
  </si>
  <si>
    <t>Sch 2</t>
  </si>
  <si>
    <t>Scheduling/Sys Control</t>
  </si>
  <si>
    <t>Reactive Supply/Voltage</t>
  </si>
  <si>
    <t>Sch 3</t>
  </si>
  <si>
    <t>Load Following</t>
  </si>
  <si>
    <t>Regulation</t>
  </si>
  <si>
    <t>Sch 5</t>
  </si>
  <si>
    <t>Spinning reserve</t>
  </si>
  <si>
    <t>Sch 6</t>
  </si>
  <si>
    <t>Op reserve 10 min.</t>
  </si>
  <si>
    <t>Op reserve 30 min.</t>
  </si>
  <si>
    <t>Sch 10</t>
  </si>
  <si>
    <t>Total OATT</t>
  </si>
  <si>
    <r>
      <t>Transmission Tariff Charges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</si>
  <si>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$/MW/hr</t>
  </si>
  <si>
    <t>Top Up rate ¢/kWh</t>
  </si>
  <si>
    <t>Value</t>
  </si>
  <si>
    <t>Energy Balancing Service</t>
  </si>
  <si>
    <t>Standby Services Tariff</t>
  </si>
  <si>
    <t>GC = Generator Capacity (MW)</t>
  </si>
  <si>
    <t>PR (Planning Reserve)</t>
  </si>
  <si>
    <t>(NPCC planning criteria)</t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</si>
  <si>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Spill rate ¢/kWh</t>
    </r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</si>
  <si>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CC = capacity contribution factor</t>
    </r>
  </si>
  <si>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Assumes renewable generator is a wind generator</t>
    </r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</si>
  <si>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Assumes quantities as metered at the generator output and at the distribution load.</t>
    </r>
  </si>
  <si>
    <t>Note: each scenario considered to occur in a different month</t>
  </si>
  <si>
    <t>Assumptions and Fixed Inputs</t>
  </si>
  <si>
    <t>Assumptions:</t>
  </si>
  <si>
    <t>System Ave. Loss Factor</t>
  </si>
  <si>
    <t>(from Table in SS Tariff)</t>
  </si>
  <si>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Assume Distribution connected load is 100% Domestic class</t>
    </r>
  </si>
  <si>
    <t>(from NS Power OASIS site)</t>
  </si>
  <si>
    <t>Average hours per month</t>
  </si>
  <si>
    <r>
      <t>CMPFD</t>
    </r>
    <r>
      <rPr>
        <b/>
        <vertAlign val="superscript"/>
        <sz val="11"/>
        <color theme="1"/>
        <rFont val="Calibri"/>
        <family val="2"/>
        <scheme val="minor"/>
      </rPr>
      <t>4,9</t>
    </r>
  </si>
  <si>
    <r>
      <t>CC*GC/(1+PR)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</si>
  <si>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Assumes each scenario considered to occur in a different month</t>
    </r>
  </si>
  <si>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Assumes annual excess spill quantity in the range of 0%-10% of annual LRS load</t>
    </r>
  </si>
  <si>
    <r>
      <t>Generation adjusted for losses to transmission/distribution interface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</si>
  <si>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Metered Customer Load - Distribution Sub. A (MW)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</si>
  <si>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Metered Customer Load - Distribution Sub. B (MW)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</si>
  <si>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Metered Customer Load - Distribution Sub. C (MW)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</si>
  <si>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LRS Aggregate Load adjusted for distribution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</si>
  <si>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Network Transmission service</t>
  </si>
  <si>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Assume load as metered is a peak for the month and occurs in a winter month (Jan/Feb/Dec), CMDAF= 1.0</t>
    </r>
  </si>
  <si>
    <t>Based on LRS aggregate load in each Scenario</t>
  </si>
  <si>
    <t>Based on quantities as metered at the distribution level</t>
  </si>
  <si>
    <t>Distribution Losses</t>
  </si>
  <si>
    <t>MSCD (MW)</t>
  </si>
  <si>
    <t>(from 2014 COSS - domestic dist losses: Feb)</t>
  </si>
  <si>
    <t xml:space="preserve"> Note: EBS hourly Top-up and Spill quantities are determined at the delivery point from the transmission system</t>
  </si>
  <si>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Transmission losses assumed at 2.28% and Dist. losses assumed at 7.7%</t>
    </r>
  </si>
  <si>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Assumes customer load as firm load with peak occurring coincident with system firm load </t>
    </r>
  </si>
  <si>
    <r>
      <t>Hourly Generation Capacity (MW)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</si>
  <si>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15 MW</t>
  </si>
  <si>
    <r>
      <t>Renewable Generator Capacity</t>
    </r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</si>
  <si>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vertAlign val="super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No Embedded Cost Recovery Charges are included in these calculations</t>
    </r>
  </si>
  <si>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Assumes Generation facility is sized to meet the contracted amount of annual LRS RtR energy, i.e. GC=MSC (Maximum Spill Capacity).</t>
    </r>
  </si>
  <si>
    <t xml:space="preserve">Demand Charge per mo. Per kW </t>
  </si>
  <si>
    <t>=365*24/12</t>
  </si>
  <si>
    <r>
      <rPr>
        <b/>
        <vertAlign val="super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Average Domestic Customer load is 2.5 kW (Winter example)</t>
    </r>
  </si>
  <si>
    <r>
      <t>Number of Customers</t>
    </r>
    <r>
      <rPr>
        <b/>
        <vertAlign val="superscript"/>
        <sz val="11"/>
        <color theme="1"/>
        <rFont val="Calibri"/>
        <family val="2"/>
        <scheme val="minor"/>
      </rPr>
      <t>12</t>
    </r>
  </si>
  <si>
    <r>
      <t>Fixed Customer Charge/mo./customer</t>
    </r>
    <r>
      <rPr>
        <vertAlign val="superscript"/>
        <sz val="11"/>
        <color theme="1"/>
        <rFont val="Calibri"/>
        <family val="2"/>
        <scheme val="minor"/>
      </rPr>
      <t>12</t>
    </r>
  </si>
  <si>
    <t>RTT demand charge</t>
  </si>
  <si>
    <t>RTT energy charge</t>
  </si>
  <si>
    <t>¢/kWh</t>
  </si>
  <si>
    <t>RTT, scenario</t>
  </si>
  <si>
    <t>Displaced capacity (MW)</t>
  </si>
  <si>
    <t>Demand element of charge</t>
  </si>
  <si>
    <t>Displaced energy (MWh)</t>
  </si>
  <si>
    <t>Energy element of charge</t>
  </si>
  <si>
    <t>Total RTT</t>
  </si>
  <si>
    <t>RtR charges / hr for scenario incl RTT</t>
  </si>
  <si>
    <t>Energy Charges</t>
  </si>
  <si>
    <t>Demand Charges</t>
  </si>
  <si>
    <t>Customer / LRS Charges</t>
  </si>
  <si>
    <t>Total charges /hr for scenario</t>
  </si>
  <si>
    <t>RtR charge / customer MWhr incl RTT</t>
  </si>
  <si>
    <t>Total RtR Charges /MWh incl 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</si>
</sst>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_(&quot;$&quot;* #,##0.0000_);_(&quot;$&quot;* \(#,##0.0000\);_(&quot;$&quot;* &quot;-&quot;??_);_(@_)"/>
    <numFmt numFmtId="167" formatCode="_(&quot;$&quot;* #,##0.000_);_(&quot;$&quot;* \(#,##0.000\);_(&quot;$&quot;* &quot;-&quot;??_);_(@_)"/>
    <numFmt numFmtId="168" formatCode="_(&quot;$&quot;* #,##0.000000_);_(&quot;$&quot;* \(#,##0.00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.8000000000000007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66" fontId="0" fillId="0" borderId="0" xfId="0" applyNumberFormat="1"/>
    <xf numFmtId="0" fontId="0" fillId="0" borderId="0" xfId="0" applyFill="1"/>
    <xf numFmtId="0" fontId="0" fillId="0" borderId="0" xfId="0" applyFill="1" applyBorder="1"/>
    <xf numFmtId="165" fontId="2" fillId="0" borderId="0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right"/>
    </xf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0" fontId="13" fillId="0" borderId="0" xfId="0" applyFont="1" applyFill="1" applyAlignment="1">
      <alignment horizontal="left"/>
    </xf>
    <xf numFmtId="2" fontId="0" fillId="0" borderId="17" xfId="0" applyNumberFormat="1" applyFill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164" fontId="0" fillId="0" borderId="19" xfId="1" applyFont="1" applyFill="1" applyBorder="1"/>
    <xf numFmtId="0" fontId="2" fillId="0" borderId="0" xfId="0" applyFont="1" applyFill="1" applyAlignment="1">
      <alignment horizontal="right"/>
    </xf>
    <xf numFmtId="164" fontId="0" fillId="0" borderId="22" xfId="1" applyFont="1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0" xfId="0" applyFill="1" applyBorder="1" applyAlignment="1">
      <alignment horizontal="right"/>
    </xf>
    <xf numFmtId="165" fontId="0" fillId="0" borderId="30" xfId="0" applyNumberForma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10" fontId="0" fillId="0" borderId="30" xfId="0" applyNumberFormat="1" applyFill="1" applyBorder="1"/>
    <xf numFmtId="0" fontId="2" fillId="0" borderId="10" xfId="0" applyFont="1" applyFill="1" applyBorder="1" applyAlignment="1">
      <alignment horizontal="right"/>
    </xf>
    <xf numFmtId="164" fontId="0" fillId="0" borderId="30" xfId="1" applyFont="1" applyFill="1" applyBorder="1"/>
    <xf numFmtId="164" fontId="2" fillId="0" borderId="11" xfId="0" applyNumberFormat="1" applyFont="1" applyFill="1" applyBorder="1"/>
    <xf numFmtId="164" fontId="2" fillId="0" borderId="31" xfId="0" applyNumberFormat="1" applyFont="1" applyFill="1" applyBorder="1"/>
    <xf numFmtId="168" fontId="0" fillId="0" borderId="0" xfId="0" applyNumberFormat="1"/>
    <xf numFmtId="0" fontId="2" fillId="0" borderId="0" xfId="0" applyFont="1" applyFill="1"/>
    <xf numFmtId="0" fontId="0" fillId="0" borderId="1" xfId="0" applyFill="1" applyBorder="1" applyAlignment="1">
      <alignment horizontal="left" indent="2"/>
    </xf>
    <xf numFmtId="0" fontId="0" fillId="0" borderId="2" xfId="0" applyFill="1" applyBorder="1"/>
    <xf numFmtId="0" fontId="0" fillId="0" borderId="35" xfId="0" applyFill="1" applyBorder="1"/>
    <xf numFmtId="0" fontId="0" fillId="0" borderId="36" xfId="0" applyFill="1" applyBorder="1" applyAlignment="1">
      <alignment horizontal="left" indent="2"/>
    </xf>
    <xf numFmtId="0" fontId="0" fillId="0" borderId="37" xfId="0" applyFill="1" applyBorder="1"/>
    <xf numFmtId="0" fontId="0" fillId="0" borderId="38" xfId="0" applyFill="1" applyBorder="1"/>
    <xf numFmtId="0" fontId="0" fillId="0" borderId="15" xfId="0" applyFill="1" applyBorder="1" applyAlignment="1">
      <alignment horizontal="left" indent="2"/>
    </xf>
    <xf numFmtId="0" fontId="0" fillId="0" borderId="40" xfId="0" applyFill="1" applyBorder="1"/>
    <xf numFmtId="0" fontId="0" fillId="0" borderId="10" xfId="0" applyFill="1" applyBorder="1" applyAlignment="1">
      <alignment horizontal="left" indent="2"/>
    </xf>
    <xf numFmtId="0" fontId="0" fillId="0" borderId="11" xfId="0" applyFill="1" applyBorder="1"/>
    <xf numFmtId="0" fontId="0" fillId="0" borderId="41" xfId="0" applyFill="1" applyBorder="1"/>
    <xf numFmtId="0" fontId="0" fillId="0" borderId="0" xfId="0" applyFill="1" applyBorder="1" applyAlignment="1">
      <alignment horizontal="left" indent="2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2"/>
    </xf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9" fontId="0" fillId="0" borderId="30" xfId="0" applyNumberFormat="1" applyFill="1" applyBorder="1"/>
    <xf numFmtId="0" fontId="0" fillId="0" borderId="0" xfId="0" quotePrefix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0" fillId="0" borderId="4" xfId="0" applyFill="1" applyBorder="1"/>
    <xf numFmtId="0" fontId="0" fillId="0" borderId="5" xfId="0" applyFill="1" applyBorder="1"/>
    <xf numFmtId="164" fontId="0" fillId="0" borderId="5" xfId="1" applyFont="1" applyFill="1" applyBorder="1" applyAlignment="1">
      <alignment horizontal="right"/>
    </xf>
    <xf numFmtId="164" fontId="0" fillId="0" borderId="33" xfId="1" applyFont="1" applyFill="1" applyBorder="1" applyAlignment="1">
      <alignment horizontal="right"/>
    </xf>
    <xf numFmtId="0" fontId="0" fillId="0" borderId="6" xfId="0" applyFill="1" applyBorder="1"/>
    <xf numFmtId="0" fontId="0" fillId="0" borderId="3" xfId="0" applyFill="1" applyBorder="1"/>
    <xf numFmtId="164" fontId="0" fillId="0" borderId="3" xfId="1" applyFont="1" applyFill="1" applyBorder="1" applyAlignment="1">
      <alignment horizontal="right"/>
    </xf>
    <xf numFmtId="164" fontId="0" fillId="0" borderId="34" xfId="1" applyFont="1" applyFill="1" applyBorder="1" applyAlignment="1">
      <alignment horizontal="right"/>
    </xf>
    <xf numFmtId="0" fontId="0" fillId="0" borderId="7" xfId="0" applyFill="1" applyBorder="1"/>
    <xf numFmtId="0" fontId="0" fillId="0" borderId="8" xfId="0" applyFill="1" applyBorder="1"/>
    <xf numFmtId="0" fontId="2" fillId="0" borderId="8" xfId="0" applyFont="1" applyFill="1" applyBorder="1" applyAlignment="1">
      <alignment horizontal="right"/>
    </xf>
    <xf numFmtId="164" fontId="0" fillId="0" borderId="8" xfId="1" applyNumberFormat="1" applyFont="1" applyFill="1" applyBorder="1" applyAlignment="1">
      <alignment horizontal="right"/>
    </xf>
    <xf numFmtId="164" fontId="0" fillId="0" borderId="9" xfId="1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2" fontId="0" fillId="0" borderId="16" xfId="0" applyNumberFormat="1" applyFill="1" applyBorder="1"/>
    <xf numFmtId="165" fontId="0" fillId="0" borderId="17" xfId="0" applyNumberFormat="1" applyFill="1" applyBorder="1"/>
    <xf numFmtId="2" fontId="0" fillId="0" borderId="17" xfId="0" applyNumberFormat="1" applyFill="1" applyBorder="1"/>
    <xf numFmtId="2" fontId="0" fillId="0" borderId="18" xfId="0" applyNumberFormat="1" applyFill="1" applyBorder="1"/>
    <xf numFmtId="0" fontId="0" fillId="0" borderId="25" xfId="0" applyFill="1" applyBorder="1"/>
    <xf numFmtId="0" fontId="0" fillId="0" borderId="28" xfId="0" applyFill="1" applyBorder="1"/>
    <xf numFmtId="0" fontId="0" fillId="0" borderId="26" xfId="0" applyFill="1" applyBorder="1"/>
    <xf numFmtId="164" fontId="0" fillId="0" borderId="5" xfId="1" applyFont="1" applyFill="1" applyBorder="1"/>
    <xf numFmtId="164" fontId="0" fillId="0" borderId="33" xfId="1" applyFont="1" applyFill="1" applyBorder="1"/>
    <xf numFmtId="0" fontId="0" fillId="0" borderId="27" xfId="0" applyFill="1" applyBorder="1"/>
    <xf numFmtId="164" fontId="0" fillId="0" borderId="8" xfId="1" applyFont="1" applyFill="1" applyBorder="1"/>
    <xf numFmtId="164" fontId="0" fillId="0" borderId="9" xfId="1" applyFont="1" applyFill="1" applyBorder="1"/>
    <xf numFmtId="0" fontId="0" fillId="0" borderId="1" xfId="0" applyFill="1" applyBorder="1"/>
    <xf numFmtId="0" fontId="3" fillId="0" borderId="2" xfId="0" applyFont="1" applyFill="1" applyBorder="1"/>
    <xf numFmtId="0" fontId="0" fillId="0" borderId="10" xfId="0" applyFill="1" applyBorder="1"/>
    <xf numFmtId="0" fontId="0" fillId="0" borderId="11" xfId="0" applyFill="1" applyBorder="1" applyAlignment="1">
      <alignment horizontal="right"/>
    </xf>
    <xf numFmtId="164" fontId="0" fillId="0" borderId="11" xfId="1" applyFont="1" applyFill="1" applyBorder="1"/>
    <xf numFmtId="167" fontId="0" fillId="0" borderId="21" xfId="0" applyNumberFormat="1" applyFill="1" applyBorder="1"/>
    <xf numFmtId="167" fontId="0" fillId="0" borderId="24" xfId="0" applyNumberFormat="1" applyFill="1" applyBorder="1"/>
    <xf numFmtId="0" fontId="0" fillId="0" borderId="2" xfId="0" applyFill="1" applyBorder="1" applyAlignment="1"/>
    <xf numFmtId="164" fontId="0" fillId="0" borderId="2" xfId="1" applyFont="1" applyFill="1" applyBorder="1"/>
    <xf numFmtId="166" fontId="0" fillId="0" borderId="2" xfId="0" applyNumberFormat="1" applyFill="1" applyBorder="1"/>
    <xf numFmtId="164" fontId="0" fillId="0" borderId="19" xfId="0" applyNumberFormat="1" applyFill="1" applyBorder="1"/>
    <xf numFmtId="164" fontId="0" fillId="0" borderId="32" xfId="0" applyNumberFormat="1" applyFill="1" applyBorder="1"/>
    <xf numFmtId="164" fontId="0" fillId="0" borderId="22" xfId="0" applyNumberFormat="1" applyFill="1" applyBorder="1"/>
    <xf numFmtId="0" fontId="0" fillId="0" borderId="15" xfId="0" applyFill="1" applyBorder="1"/>
    <xf numFmtId="0" fontId="0" fillId="0" borderId="0" xfId="0" applyFill="1" applyBorder="1" applyAlignment="1"/>
    <xf numFmtId="164" fontId="0" fillId="0" borderId="0" xfId="1" applyFont="1" applyFill="1" applyBorder="1"/>
    <xf numFmtId="166" fontId="0" fillId="0" borderId="0" xfId="0" applyNumberFormat="1" applyFill="1" applyBorder="1"/>
    <xf numFmtId="164" fontId="0" fillId="0" borderId="0" xfId="0" applyNumberFormat="1" applyFill="1" applyBorder="1"/>
    <xf numFmtId="164" fontId="0" fillId="0" borderId="20" xfId="0" applyNumberFormat="1" applyFill="1" applyBorder="1"/>
    <xf numFmtId="164" fontId="0" fillId="0" borderId="17" xfId="0" applyNumberFormat="1" applyFill="1" applyBorder="1"/>
    <xf numFmtId="164" fontId="0" fillId="0" borderId="23" xfId="0" applyNumberFormat="1" applyFill="1" applyBorder="1"/>
    <xf numFmtId="0" fontId="0" fillId="0" borderId="11" xfId="0" applyFill="1" applyBorder="1" applyAlignment="1"/>
    <xf numFmtId="166" fontId="0" fillId="0" borderId="11" xfId="0" applyNumberFormat="1" applyFill="1" applyBorder="1"/>
    <xf numFmtId="164" fontId="0" fillId="0" borderId="21" xfId="0" applyNumberFormat="1" applyFill="1" applyBorder="1"/>
    <xf numFmtId="164" fontId="0" fillId="0" borderId="27" xfId="0" applyNumberFormat="1" applyFill="1" applyBorder="1"/>
    <xf numFmtId="164" fontId="0" fillId="0" borderId="24" xfId="0" applyNumberFormat="1" applyFill="1" applyBorder="1"/>
    <xf numFmtId="167" fontId="0" fillId="0" borderId="0" xfId="0" applyNumberFormat="1" applyFill="1"/>
    <xf numFmtId="166" fontId="0" fillId="0" borderId="0" xfId="0" applyNumberFormat="1" applyFill="1"/>
    <xf numFmtId="44" fontId="0" fillId="0" borderId="18" xfId="0" applyNumberFormat="1" applyFill="1" applyBorder="1"/>
    <xf numFmtId="44" fontId="0" fillId="0" borderId="39" xfId="0" applyNumberFormat="1" applyFill="1" applyBorder="1"/>
    <xf numFmtId="2" fontId="0" fillId="0" borderId="23" xfId="0" applyNumberFormat="1" applyFill="1" applyBorder="1"/>
    <xf numFmtId="44" fontId="0" fillId="0" borderId="27" xfId="0" applyNumberFormat="1" applyFill="1" applyBorder="1"/>
    <xf numFmtId="44" fontId="0" fillId="0" borderId="24" xfId="0" applyNumberFormat="1" applyFill="1" applyBorder="1"/>
    <xf numFmtId="164" fontId="0" fillId="0" borderId="13" xfId="0" applyNumberFormat="1" applyFill="1" applyBorder="1"/>
    <xf numFmtId="164" fontId="0" fillId="0" borderId="14" xfId="0" applyNumberFormat="1" applyFill="1" applyBorder="1"/>
    <xf numFmtId="44" fontId="0" fillId="0" borderId="2" xfId="0" applyNumberFormat="1" applyFill="1" applyBorder="1"/>
    <xf numFmtId="44" fontId="0" fillId="0" borderId="29" xfId="0" applyNumberFormat="1" applyFill="1" applyBorder="1"/>
    <xf numFmtId="44" fontId="0" fillId="0" borderId="0" xfId="0" applyNumberFormat="1" applyFill="1" applyBorder="1"/>
    <xf numFmtId="44" fontId="0" fillId="0" borderId="30" xfId="0" applyNumberFormat="1" applyFill="1" applyBorder="1"/>
    <xf numFmtId="44" fontId="0" fillId="0" borderId="11" xfId="0" applyNumberFormat="1" applyFill="1" applyBorder="1"/>
    <xf numFmtId="44" fontId="0" fillId="0" borderId="31" xfId="0" applyNumberFormat="1" applyFill="1" applyBorder="1"/>
    <xf numFmtId="44" fontId="2" fillId="0" borderId="13" xfId="0" applyNumberFormat="1" applyFont="1" applyFill="1" applyBorder="1"/>
    <xf numFmtId="44" fontId="2" fillId="0" borderId="14" xfId="0" applyNumberFormat="1" applyFont="1" applyFill="1" applyBorder="1"/>
    <xf numFmtId="44" fontId="0" fillId="0" borderId="10" xfId="0" applyNumberFormat="1" applyFill="1" applyBorder="1"/>
    <xf numFmtId="0" fontId="12" fillId="0" borderId="0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left"/>
    </xf>
    <xf numFmtId="164" fontId="0" fillId="0" borderId="30" xfId="0" applyNumberFormat="1" applyFill="1" applyBorder="1"/>
    <xf numFmtId="0" fontId="0" fillId="0" borderId="31" xfId="0" applyFill="1" applyBorder="1"/>
    <xf numFmtId="2" fontId="0" fillId="0" borderId="32" xfId="0" applyNumberFormat="1" applyFill="1" applyBorder="1"/>
    <xf numFmtId="2" fontId="0" fillId="0" borderId="22" xfId="0" applyNumberFormat="1" applyFill="1" applyBorder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zoomScale="85" zoomScaleNormal="85" workbookViewId="0">
      <selection activeCell="H92" sqref="H92"/>
    </sheetView>
  </sheetViews>
  <sheetFormatPr defaultRowHeight="15" x14ac:dyDescent="0.25"/>
  <cols>
    <col min="1" max="1" width="26.42578125" customWidth="1"/>
    <col min="2" max="2" width="42.85546875" customWidth="1"/>
    <col min="3" max="3" width="22.42578125" customWidth="1"/>
    <col min="4" max="5" width="15.7109375" customWidth="1"/>
    <col min="6" max="6" width="24.7109375" customWidth="1"/>
    <col min="7" max="8" width="19.7109375" customWidth="1"/>
    <col min="9" max="9" width="15" customWidth="1"/>
    <col min="10" max="12" width="17.85546875" customWidth="1"/>
  </cols>
  <sheetData>
    <row r="1" spans="1:10" ht="21" x14ac:dyDescent="0.35">
      <c r="A1" s="44" t="s">
        <v>3</v>
      </c>
      <c r="B1" s="44"/>
      <c r="C1" s="45"/>
      <c r="D1" s="5"/>
      <c r="E1" s="46" t="s">
        <v>55</v>
      </c>
      <c r="F1" s="5"/>
      <c r="G1" s="5"/>
      <c r="H1" s="5"/>
      <c r="I1" s="5"/>
      <c r="J1" s="5"/>
    </row>
    <row r="2" spans="1:10" ht="16.899999999999999" thickBot="1" x14ac:dyDescent="0.35">
      <c r="A2" s="46" t="s">
        <v>54</v>
      </c>
      <c r="B2" s="5"/>
      <c r="C2" s="47" t="s">
        <v>43</v>
      </c>
      <c r="D2" s="5"/>
      <c r="E2" s="48" t="s">
        <v>63</v>
      </c>
      <c r="F2" s="5"/>
      <c r="G2" s="5"/>
      <c r="H2" s="5"/>
      <c r="I2" s="5"/>
      <c r="J2" s="5"/>
    </row>
    <row r="3" spans="1:10" ht="17.25" x14ac:dyDescent="0.25">
      <c r="A3" s="49" t="s">
        <v>44</v>
      </c>
      <c r="B3" s="50" t="s">
        <v>42</v>
      </c>
      <c r="C3" s="17">
        <v>9.9589999999999996</v>
      </c>
      <c r="D3" s="5"/>
      <c r="E3" s="11" t="s">
        <v>78</v>
      </c>
      <c r="F3" s="5"/>
      <c r="G3" s="5"/>
      <c r="H3" s="5"/>
      <c r="I3" s="5"/>
      <c r="J3" s="5"/>
    </row>
    <row r="4" spans="1:10" ht="17.25" x14ac:dyDescent="0.25">
      <c r="A4" s="21" t="s">
        <v>44</v>
      </c>
      <c r="B4" s="19" t="s">
        <v>49</v>
      </c>
      <c r="C4" s="18">
        <v>5.27</v>
      </c>
      <c r="D4" s="5"/>
      <c r="E4" s="48" t="s">
        <v>52</v>
      </c>
      <c r="F4" s="5"/>
      <c r="G4" s="5"/>
      <c r="H4" s="5"/>
      <c r="I4" s="5"/>
      <c r="J4" s="5"/>
    </row>
    <row r="5" spans="1:10" ht="16.149999999999999" x14ac:dyDescent="0.3">
      <c r="A5" s="21" t="s">
        <v>45</v>
      </c>
      <c r="B5" s="19" t="s">
        <v>46</v>
      </c>
      <c r="C5" s="20" t="s">
        <v>81</v>
      </c>
      <c r="D5" s="5"/>
      <c r="E5" s="7" t="s">
        <v>71</v>
      </c>
      <c r="F5" s="5"/>
      <c r="G5" s="5"/>
      <c r="H5" s="5"/>
      <c r="I5" s="5"/>
      <c r="J5" s="5"/>
    </row>
    <row r="6" spans="1:10" ht="16.149999999999999" x14ac:dyDescent="0.3">
      <c r="A6" s="21" t="s">
        <v>45</v>
      </c>
      <c r="B6" s="19" t="s">
        <v>50</v>
      </c>
      <c r="C6" s="18">
        <v>0.17</v>
      </c>
      <c r="D6" s="5"/>
      <c r="E6" s="7" t="s">
        <v>58</v>
      </c>
      <c r="F6" s="5"/>
      <c r="G6" s="5"/>
      <c r="H6" s="5"/>
      <c r="I6" s="5"/>
      <c r="J6" s="5"/>
    </row>
    <row r="7" spans="1:10" ht="16.149999999999999" x14ac:dyDescent="0.3">
      <c r="A7" s="21" t="s">
        <v>45</v>
      </c>
      <c r="B7" s="19" t="s">
        <v>85</v>
      </c>
      <c r="C7" s="24">
        <v>5.37</v>
      </c>
      <c r="D7" s="5"/>
      <c r="E7" s="7" t="s">
        <v>24</v>
      </c>
      <c r="F7" s="5"/>
      <c r="G7" s="5"/>
      <c r="H7" s="5"/>
      <c r="I7" s="5"/>
      <c r="J7" s="5"/>
    </row>
    <row r="8" spans="1:10" ht="16.149999999999999" x14ac:dyDescent="0.3">
      <c r="A8" s="21" t="s">
        <v>47</v>
      </c>
      <c r="B8" s="19" t="s">
        <v>48</v>
      </c>
      <c r="C8" s="51">
        <v>0.2</v>
      </c>
      <c r="D8" s="6"/>
      <c r="E8" s="28" t="s">
        <v>64</v>
      </c>
      <c r="F8" s="5"/>
      <c r="G8" s="5"/>
      <c r="H8" s="5"/>
      <c r="I8" s="5"/>
      <c r="J8" s="5"/>
    </row>
    <row r="9" spans="1:10" ht="16.149999999999999" x14ac:dyDescent="0.3">
      <c r="A9" s="21" t="s">
        <v>60</v>
      </c>
      <c r="B9" s="52" t="s">
        <v>86</v>
      </c>
      <c r="C9" s="18">
        <f>365*24/12</f>
        <v>730</v>
      </c>
      <c r="D9" s="5"/>
      <c r="E9" s="53" t="s">
        <v>51</v>
      </c>
      <c r="F9" s="5"/>
      <c r="G9" s="5"/>
      <c r="H9" s="5"/>
      <c r="I9" s="5"/>
      <c r="J9" s="5"/>
    </row>
    <row r="10" spans="1:10" ht="16.149999999999999" x14ac:dyDescent="0.3">
      <c r="A10" s="21" t="s">
        <v>56</v>
      </c>
      <c r="B10" s="6" t="s">
        <v>59</v>
      </c>
      <c r="C10" s="22">
        <v>2.2800000000000001E-2</v>
      </c>
      <c r="D10" s="5"/>
      <c r="E10" s="7" t="s">
        <v>79</v>
      </c>
      <c r="F10" s="5"/>
      <c r="G10" s="5"/>
      <c r="H10" s="5"/>
      <c r="I10" s="5"/>
      <c r="J10" s="5"/>
    </row>
    <row r="11" spans="1:10" ht="16.149999999999999" x14ac:dyDescent="0.3">
      <c r="A11" s="21" t="s">
        <v>74</v>
      </c>
      <c r="B11" s="133" t="s">
        <v>76</v>
      </c>
      <c r="C11" s="22">
        <v>7.6999999999999999E-2</v>
      </c>
      <c r="D11" s="5"/>
      <c r="E11" s="7" t="s">
        <v>84</v>
      </c>
      <c r="F11" s="5"/>
      <c r="G11" s="5"/>
      <c r="H11" s="5"/>
      <c r="I11" s="5"/>
      <c r="J11" s="5"/>
    </row>
    <row r="12" spans="1:10" ht="16.149999999999999" x14ac:dyDescent="0.3">
      <c r="A12" s="134"/>
      <c r="B12" s="6"/>
      <c r="C12" s="18"/>
      <c r="D12" s="5"/>
      <c r="E12" s="7" t="s">
        <v>83</v>
      </c>
      <c r="F12" s="5"/>
      <c r="G12" s="5"/>
      <c r="H12" s="5"/>
      <c r="I12" s="5"/>
      <c r="J12" s="5"/>
    </row>
    <row r="13" spans="1:10" ht="16.149999999999999" x14ac:dyDescent="0.3">
      <c r="A13" s="21" t="s">
        <v>90</v>
      </c>
      <c r="B13" s="19" t="s">
        <v>85</v>
      </c>
      <c r="C13" s="135">
        <f>C7</f>
        <v>5.37</v>
      </c>
      <c r="D13" s="5"/>
      <c r="E13" s="7" t="s">
        <v>87</v>
      </c>
      <c r="F13" s="5"/>
      <c r="G13" s="5"/>
      <c r="H13" s="5"/>
      <c r="I13" s="5"/>
      <c r="J13" s="5"/>
    </row>
    <row r="14" spans="1:10" ht="15.75" thickBot="1" x14ac:dyDescent="0.3">
      <c r="A14" s="23" t="s">
        <v>91</v>
      </c>
      <c r="B14" s="92" t="s">
        <v>92</v>
      </c>
      <c r="C14" s="136">
        <v>3.3090000000000002</v>
      </c>
      <c r="D14" s="5"/>
      <c r="E14" s="5"/>
      <c r="F14" s="5"/>
      <c r="G14" s="5"/>
      <c r="H14" s="5"/>
      <c r="I14" s="5"/>
      <c r="J14" s="5"/>
    </row>
    <row r="15" spans="1:10" thickBot="1" x14ac:dyDescent="0.35">
      <c r="A15" s="5"/>
      <c r="B15" s="5"/>
      <c r="C15" s="5"/>
      <c r="D15" s="5"/>
      <c r="E15" s="7"/>
      <c r="F15" s="5"/>
      <c r="G15" s="5"/>
      <c r="H15" s="5"/>
      <c r="I15" s="5"/>
      <c r="J15" s="5"/>
    </row>
    <row r="16" spans="1:10" ht="15.75" thickBot="1" x14ac:dyDescent="0.3">
      <c r="A16" s="5"/>
      <c r="B16" s="5"/>
      <c r="C16" s="5"/>
      <c r="D16" s="5"/>
      <c r="E16" s="5"/>
      <c r="F16" s="5"/>
      <c r="G16" s="139" t="s">
        <v>3</v>
      </c>
      <c r="H16" s="140"/>
      <c r="I16" s="141"/>
      <c r="J16" s="5"/>
    </row>
    <row r="17" spans="1:10" ht="15.75" thickBot="1" x14ac:dyDescent="0.3">
      <c r="A17" s="142"/>
      <c r="B17" s="142"/>
      <c r="C17" s="142"/>
      <c r="D17" s="5"/>
      <c r="E17" s="5"/>
      <c r="F17" s="5"/>
      <c r="G17" s="139" t="s">
        <v>53</v>
      </c>
      <c r="H17" s="140"/>
      <c r="I17" s="141"/>
      <c r="J17" s="5"/>
    </row>
    <row r="18" spans="1:10" x14ac:dyDescent="0.25">
      <c r="A18" s="54"/>
      <c r="B18" s="54"/>
      <c r="C18" s="54"/>
      <c r="D18" s="5"/>
      <c r="E18" s="5"/>
      <c r="F18" s="5"/>
      <c r="G18" s="55" t="s">
        <v>0</v>
      </c>
      <c r="H18" s="55" t="s">
        <v>1</v>
      </c>
      <c r="I18" s="55" t="s">
        <v>2</v>
      </c>
      <c r="J18" s="5"/>
    </row>
    <row r="19" spans="1:10" ht="17.25" x14ac:dyDescent="0.25">
      <c r="A19" s="56"/>
      <c r="B19" s="56"/>
      <c r="C19" s="56"/>
      <c r="D19" s="5"/>
      <c r="E19" s="5"/>
      <c r="F19" s="15" t="s">
        <v>82</v>
      </c>
      <c r="G19" s="13">
        <v>15</v>
      </c>
      <c r="H19" s="13">
        <v>15</v>
      </c>
      <c r="I19" s="13">
        <v>15</v>
      </c>
      <c r="J19" s="5"/>
    </row>
    <row r="20" spans="1:10" ht="17.25" x14ac:dyDescent="0.25">
      <c r="A20" s="56"/>
      <c r="B20" s="56"/>
      <c r="C20" s="56"/>
      <c r="D20" s="5"/>
      <c r="E20" s="5"/>
      <c r="F20" s="15" t="s">
        <v>80</v>
      </c>
      <c r="G20" s="13">
        <v>15</v>
      </c>
      <c r="H20" s="13">
        <v>10</v>
      </c>
      <c r="I20" s="13">
        <v>15</v>
      </c>
      <c r="J20" s="5"/>
    </row>
    <row r="21" spans="1:10" ht="17.25" x14ac:dyDescent="0.25">
      <c r="A21" s="5"/>
      <c r="B21" s="5"/>
      <c r="C21" s="5"/>
      <c r="D21" s="5"/>
      <c r="E21" s="5"/>
      <c r="F21" s="57" t="s">
        <v>65</v>
      </c>
      <c r="G21" s="12">
        <f>G20/(1+$C$10)</f>
        <v>14.665623777864687</v>
      </c>
      <c r="H21" s="12">
        <f>H20/(1+$C$10)</f>
        <v>9.7770825185764583</v>
      </c>
      <c r="I21" s="12">
        <f>I20/(1+$C$10)</f>
        <v>14.665623777864687</v>
      </c>
      <c r="J21" s="5"/>
    </row>
    <row r="22" spans="1:10" ht="17.25" x14ac:dyDescent="0.25">
      <c r="A22" s="53"/>
      <c r="B22" s="5"/>
      <c r="C22" s="53"/>
      <c r="D22" s="5"/>
      <c r="E22" s="5"/>
      <c r="F22" s="15" t="s">
        <v>66</v>
      </c>
      <c r="G22" s="13">
        <v>5</v>
      </c>
      <c r="H22" s="13">
        <v>1</v>
      </c>
      <c r="I22" s="13">
        <v>1</v>
      </c>
      <c r="J22" s="5"/>
    </row>
    <row r="23" spans="1:10" ht="16.149999999999999" x14ac:dyDescent="0.3">
      <c r="A23" s="56"/>
      <c r="B23" s="5"/>
      <c r="C23" s="56"/>
      <c r="D23" s="5"/>
      <c r="E23" s="5"/>
      <c r="F23" s="15" t="s">
        <v>67</v>
      </c>
      <c r="G23" s="13">
        <v>5</v>
      </c>
      <c r="H23" s="13">
        <v>5</v>
      </c>
      <c r="I23" s="13">
        <v>5</v>
      </c>
      <c r="J23" s="5"/>
    </row>
    <row r="24" spans="1:10" ht="16.149999999999999" x14ac:dyDescent="0.3">
      <c r="A24" s="58"/>
      <c r="B24" s="5"/>
      <c r="C24" s="58"/>
      <c r="D24" s="5"/>
      <c r="E24" s="5"/>
      <c r="F24" s="15" t="s">
        <v>68</v>
      </c>
      <c r="G24" s="13">
        <v>5</v>
      </c>
      <c r="H24" s="13">
        <v>5</v>
      </c>
      <c r="I24" s="13">
        <v>1</v>
      </c>
      <c r="J24" s="5"/>
    </row>
    <row r="25" spans="1:10" ht="14.45" x14ac:dyDescent="0.3">
      <c r="A25" s="58"/>
      <c r="B25" s="5"/>
      <c r="C25" s="58"/>
      <c r="D25" s="5"/>
      <c r="E25" s="5"/>
      <c r="F25" s="15"/>
      <c r="G25" s="13"/>
      <c r="H25" s="13"/>
      <c r="I25" s="13"/>
      <c r="J25" s="5"/>
    </row>
    <row r="26" spans="1:10" ht="14.45" x14ac:dyDescent="0.3">
      <c r="A26" s="58"/>
      <c r="B26" s="5"/>
      <c r="C26" s="58"/>
      <c r="D26" s="5"/>
      <c r="E26" s="5"/>
      <c r="F26" s="1" t="s">
        <v>10</v>
      </c>
      <c r="G26" s="13">
        <f>G22+G23+G24</f>
        <v>15</v>
      </c>
      <c r="H26" s="13">
        <f>H22+H23+H24</f>
        <v>11</v>
      </c>
      <c r="I26" s="13">
        <f>I22+I23+I24</f>
        <v>7</v>
      </c>
      <c r="J26" s="5"/>
    </row>
    <row r="27" spans="1:10" ht="16.149999999999999" x14ac:dyDescent="0.3">
      <c r="A27" s="58"/>
      <c r="B27" s="5"/>
      <c r="C27" s="58"/>
      <c r="D27" s="5"/>
      <c r="E27" s="5"/>
      <c r="F27" s="57" t="s">
        <v>69</v>
      </c>
      <c r="G27" s="12">
        <f>G26*(1+$C$11)</f>
        <v>16.155000000000001</v>
      </c>
      <c r="H27" s="12">
        <f>H26*(1+$C$11)</f>
        <v>11.847</v>
      </c>
      <c r="I27" s="12">
        <f>I26*(1+$C$11)</f>
        <v>7.5389999999999997</v>
      </c>
      <c r="J27" s="5"/>
    </row>
    <row r="28" spans="1:10" ht="16.149999999999999" x14ac:dyDescent="0.3">
      <c r="A28" s="58"/>
      <c r="B28" s="58"/>
      <c r="C28" s="58"/>
      <c r="D28" s="5"/>
      <c r="E28" s="5"/>
      <c r="F28" s="15" t="s">
        <v>88</v>
      </c>
      <c r="G28" s="59">
        <f>G27/2.5*1000</f>
        <v>6462.0000000000009</v>
      </c>
      <c r="H28" s="59">
        <f t="shared" ref="H28:I28" si="0">H27/2.5*1000</f>
        <v>4738.7999999999993</v>
      </c>
      <c r="I28" s="59">
        <f t="shared" si="0"/>
        <v>3015.6</v>
      </c>
      <c r="J28" s="5"/>
    </row>
    <row r="29" spans="1:10" ht="14.45" x14ac:dyDescent="0.3">
      <c r="A29" s="5"/>
      <c r="B29" s="5"/>
      <c r="C29" s="5"/>
      <c r="D29" s="5"/>
      <c r="E29" s="5"/>
      <c r="F29" s="1" t="s">
        <v>4</v>
      </c>
      <c r="G29" s="12">
        <f>IF(G27-G21&gt;=0,G27-G21,0)</f>
        <v>1.4893762221353146</v>
      </c>
      <c r="H29" s="12">
        <f t="shared" ref="H29:I29" si="1">IF(H27-H21&gt;=0,H27-H21,0)</f>
        <v>2.0699174814235413</v>
      </c>
      <c r="I29" s="12">
        <f t="shared" si="1"/>
        <v>0</v>
      </c>
      <c r="J29" s="5"/>
    </row>
    <row r="30" spans="1:10" ht="14.45" x14ac:dyDescent="0.3">
      <c r="A30" s="58"/>
      <c r="B30" s="58"/>
      <c r="C30" s="58"/>
      <c r="D30" s="5"/>
      <c r="E30" s="5"/>
      <c r="F30" s="1" t="s">
        <v>5</v>
      </c>
      <c r="G30" s="60">
        <f>IF(G27-G21&lt;0,G27-G21,0)</f>
        <v>0</v>
      </c>
      <c r="H30" s="60">
        <f>IF(H27-H21&lt;0,H27-H21,0)</f>
        <v>0</v>
      </c>
      <c r="I30" s="60">
        <f>IF(I27-I21&lt;0,I27-I21,0)</f>
        <v>-7.1266237778646868</v>
      </c>
      <c r="J30" s="5"/>
    </row>
    <row r="31" spans="1:10" ht="14.45" x14ac:dyDescent="0.3">
      <c r="A31" s="58"/>
      <c r="B31" s="5"/>
      <c r="C31" s="58"/>
      <c r="D31" s="5"/>
      <c r="E31" s="5"/>
      <c r="F31" s="1"/>
      <c r="G31" s="56"/>
      <c r="H31" s="58"/>
      <c r="I31" s="58"/>
      <c r="J31" s="5"/>
    </row>
    <row r="32" spans="1:10" ht="16.149999999999999" thickBot="1" x14ac:dyDescent="0.35">
      <c r="A32" s="61">
        <v>1</v>
      </c>
      <c r="B32" s="62" t="s">
        <v>8</v>
      </c>
      <c r="C32" s="7" t="s">
        <v>77</v>
      </c>
      <c r="D32" s="5"/>
      <c r="E32" s="5"/>
      <c r="F32" s="5"/>
      <c r="G32" s="5"/>
      <c r="H32" s="5"/>
      <c r="I32" s="5"/>
      <c r="J32" s="5"/>
    </row>
    <row r="33" spans="1:10" ht="14.45" x14ac:dyDescent="0.3">
      <c r="A33" s="5"/>
      <c r="B33" s="5"/>
      <c r="C33" s="63"/>
      <c r="D33" s="64"/>
      <c r="E33" s="64"/>
      <c r="F33" s="3" t="s">
        <v>6</v>
      </c>
      <c r="G33" s="65">
        <f>$C3*G29*1000/100</f>
        <v>148.32697796245597</v>
      </c>
      <c r="H33" s="65">
        <f>$C3*H29*1000/100</f>
        <v>206.14308197497044</v>
      </c>
      <c r="I33" s="66">
        <f t="shared" ref="I33" si="2">$C3*I29*1000/100</f>
        <v>0</v>
      </c>
      <c r="J33" s="5"/>
    </row>
    <row r="34" spans="1:10" ht="14.45" x14ac:dyDescent="0.3">
      <c r="A34" s="5"/>
      <c r="B34" s="5"/>
      <c r="C34" s="67"/>
      <c r="D34" s="68"/>
      <c r="E34" s="68"/>
      <c r="F34" s="2" t="s">
        <v>7</v>
      </c>
      <c r="G34" s="69">
        <f>$C4*G30*1000/100</f>
        <v>0</v>
      </c>
      <c r="H34" s="69">
        <f t="shared" ref="H34:I34" si="3">$C4*H30*1000/100</f>
        <v>0</v>
      </c>
      <c r="I34" s="70">
        <f t="shared" si="3"/>
        <v>-375.57307309346902</v>
      </c>
      <c r="J34" s="5"/>
    </row>
    <row r="35" spans="1:10" thickBot="1" x14ac:dyDescent="0.35">
      <c r="A35" s="5"/>
      <c r="B35" s="5"/>
      <c r="C35" s="71"/>
      <c r="D35" s="72"/>
      <c r="E35" s="72"/>
      <c r="F35" s="73" t="s">
        <v>11</v>
      </c>
      <c r="G35" s="74">
        <f>1053.03/$C9</f>
        <v>1.4425068493150686</v>
      </c>
      <c r="H35" s="74">
        <f t="shared" ref="H35:I35" si="4">1053.03/$C9</f>
        <v>1.4425068493150686</v>
      </c>
      <c r="I35" s="75">
        <f t="shared" si="4"/>
        <v>1.4425068493150686</v>
      </c>
      <c r="J35" s="5"/>
    </row>
    <row r="36" spans="1:10" thickBot="1" x14ac:dyDescent="0.35">
      <c r="A36" s="5"/>
      <c r="B36" s="5"/>
      <c r="C36" s="5"/>
      <c r="D36" s="5"/>
      <c r="E36" s="5"/>
      <c r="F36" s="8" t="s">
        <v>17</v>
      </c>
      <c r="G36" s="9">
        <f>SUM(G33:G35)</f>
        <v>149.76948481177104</v>
      </c>
      <c r="H36" s="9">
        <f t="shared" ref="H36:I36" si="5">SUM(H33:H35)</f>
        <v>207.58558882428551</v>
      </c>
      <c r="I36" s="10">
        <f t="shared" si="5"/>
        <v>-374.13056624415395</v>
      </c>
      <c r="J36" s="5"/>
    </row>
    <row r="37" spans="1:10" ht="14.45" x14ac:dyDescent="0.3">
      <c r="A37" s="5"/>
      <c r="B37" s="5"/>
      <c r="C37" s="76"/>
      <c r="D37" s="5"/>
      <c r="E37" s="5"/>
      <c r="F37" s="5"/>
      <c r="G37" s="5"/>
      <c r="H37" s="5"/>
      <c r="I37" s="5"/>
      <c r="J37" s="5"/>
    </row>
    <row r="38" spans="1:10" ht="14.45" x14ac:dyDescent="0.3">
      <c r="A38" s="5"/>
      <c r="B38" s="5"/>
      <c r="C38" s="5"/>
      <c r="D38" s="5"/>
      <c r="E38" s="5"/>
      <c r="F38" s="15"/>
      <c r="G38" s="5"/>
      <c r="H38" s="5"/>
      <c r="I38" s="5"/>
      <c r="J38" s="5"/>
    </row>
    <row r="39" spans="1:10" ht="16.149999999999999" x14ac:dyDescent="0.3">
      <c r="A39" s="28">
        <v>2</v>
      </c>
      <c r="B39" s="62" t="s">
        <v>9</v>
      </c>
      <c r="C39" s="5"/>
      <c r="D39" s="5"/>
      <c r="E39" s="5"/>
      <c r="F39" s="15" t="s">
        <v>61</v>
      </c>
      <c r="G39" s="77">
        <f>G27</f>
        <v>16.155000000000001</v>
      </c>
      <c r="H39" s="77">
        <f>H27</f>
        <v>11.847</v>
      </c>
      <c r="I39" s="77">
        <f>I27</f>
        <v>7.5389999999999997</v>
      </c>
      <c r="J39" s="5"/>
    </row>
    <row r="40" spans="1:10" ht="17.25" x14ac:dyDescent="0.25">
      <c r="A40" s="5"/>
      <c r="B40" s="5"/>
      <c r="C40" s="5"/>
      <c r="D40" s="5"/>
      <c r="E40" s="76" t="s">
        <v>57</v>
      </c>
      <c r="F40" s="15" t="s">
        <v>13</v>
      </c>
      <c r="G40" s="78">
        <v>1</v>
      </c>
      <c r="H40" s="78">
        <v>1</v>
      </c>
      <c r="I40" s="78">
        <v>1</v>
      </c>
      <c r="J40" s="5"/>
    </row>
    <row r="41" spans="1:10" x14ac:dyDescent="0.25">
      <c r="A41" s="5"/>
      <c r="B41" s="5"/>
      <c r="C41" s="5"/>
      <c r="D41" s="5"/>
      <c r="E41" s="5"/>
      <c r="F41" s="15" t="s">
        <v>12</v>
      </c>
      <c r="G41" s="79">
        <f>G39*G40</f>
        <v>16.155000000000001</v>
      </c>
      <c r="H41" s="79">
        <f t="shared" ref="H41:I41" si="6">H39*H40</f>
        <v>11.847</v>
      </c>
      <c r="I41" s="79">
        <f t="shared" si="6"/>
        <v>7.5389999999999997</v>
      </c>
      <c r="J41" s="5"/>
    </row>
    <row r="42" spans="1:10" ht="17.25" x14ac:dyDescent="0.25">
      <c r="A42" s="5"/>
      <c r="B42" s="5"/>
      <c r="C42" s="5"/>
      <c r="D42" s="5"/>
      <c r="E42" s="5"/>
      <c r="F42" s="15" t="s">
        <v>62</v>
      </c>
      <c r="G42" s="79">
        <f>$C6*G19/(1+$C8)</f>
        <v>2.1250000000000004</v>
      </c>
      <c r="H42" s="79">
        <f t="shared" ref="H42:I42" si="7">$C6*H19/(1+$C8)</f>
        <v>2.1250000000000004</v>
      </c>
      <c r="I42" s="79">
        <f t="shared" si="7"/>
        <v>2.1250000000000004</v>
      </c>
      <c r="J42" s="5"/>
    </row>
    <row r="43" spans="1:10" x14ac:dyDescent="0.25">
      <c r="A43" s="5"/>
      <c r="B43" s="5"/>
      <c r="C43" s="5"/>
      <c r="D43" s="5"/>
      <c r="E43" s="5"/>
      <c r="F43" s="15" t="s">
        <v>14</v>
      </c>
      <c r="G43" s="79">
        <f>MIN(G41:G42)</f>
        <v>2.1250000000000004</v>
      </c>
      <c r="H43" s="79">
        <f t="shared" ref="H43:I43" si="8">MIN(H41:H42)</f>
        <v>2.1250000000000004</v>
      </c>
      <c r="I43" s="79">
        <f t="shared" si="8"/>
        <v>2.1250000000000004</v>
      </c>
      <c r="J43" s="5"/>
    </row>
    <row r="44" spans="1:10" x14ac:dyDescent="0.25">
      <c r="A44" s="5"/>
      <c r="B44" s="5"/>
      <c r="C44" s="5"/>
      <c r="D44" s="5"/>
      <c r="E44" s="5"/>
      <c r="F44" s="15" t="s">
        <v>75</v>
      </c>
      <c r="G44" s="80">
        <f>G41-G43</f>
        <v>14.030000000000001</v>
      </c>
      <c r="H44" s="80">
        <f t="shared" ref="H44" si="9">H41-H43</f>
        <v>9.7219999999999995</v>
      </c>
      <c r="I44" s="80">
        <f>I41-I43</f>
        <v>5.4139999999999997</v>
      </c>
      <c r="J44" s="5"/>
    </row>
    <row r="45" spans="1:10" ht="15.75" thickBo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5"/>
      <c r="B46" s="5"/>
      <c r="C46" s="81"/>
      <c r="D46" s="82"/>
      <c r="E46" s="83"/>
      <c r="F46" s="3" t="s">
        <v>15</v>
      </c>
      <c r="G46" s="84">
        <f>G44*1000*$C7/$C9</f>
        <v>103.20698630136987</v>
      </c>
      <c r="H46" s="84">
        <f t="shared" ref="H46:I46" si="10">H44*1000*$C7/$C9</f>
        <v>71.516630136986294</v>
      </c>
      <c r="I46" s="85">
        <f t="shared" si="10"/>
        <v>39.826273972602742</v>
      </c>
      <c r="J46" s="5"/>
    </row>
    <row r="47" spans="1:10" ht="15.75" thickBot="1" x14ac:dyDescent="0.3">
      <c r="A47" s="5"/>
      <c r="B47" s="5"/>
      <c r="C47" s="71"/>
      <c r="D47" s="86"/>
      <c r="E47" s="72"/>
      <c r="F47" s="73" t="s">
        <v>16</v>
      </c>
      <c r="G47" s="87">
        <f>1053.03/730</f>
        <v>1.4425068493150686</v>
      </c>
      <c r="H47" s="87">
        <f t="shared" ref="H47:I47" si="11">1053.03/730</f>
        <v>1.4425068493150686</v>
      </c>
      <c r="I47" s="88">
        <f t="shared" si="11"/>
        <v>1.4425068493150686</v>
      </c>
      <c r="J47" s="5"/>
    </row>
    <row r="48" spans="1:10" ht="15.75" thickBot="1" x14ac:dyDescent="0.3">
      <c r="A48" s="5"/>
      <c r="B48" s="5"/>
      <c r="C48" s="5"/>
      <c r="D48" s="5"/>
      <c r="E48" s="5"/>
      <c r="F48" s="8" t="s">
        <v>18</v>
      </c>
      <c r="G48" s="9">
        <f>SUM(G46:G47)</f>
        <v>104.64949315068493</v>
      </c>
      <c r="H48" s="9">
        <f t="shared" ref="H48:I48" si="12">SUM(H46:H47)</f>
        <v>72.95913698630136</v>
      </c>
      <c r="I48" s="10">
        <f t="shared" si="12"/>
        <v>41.268780821917808</v>
      </c>
      <c r="J48" s="5"/>
    </row>
    <row r="49" spans="1:10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8" thickBot="1" x14ac:dyDescent="0.3">
      <c r="A51" s="28">
        <v>3</v>
      </c>
      <c r="B51" s="28" t="s">
        <v>19</v>
      </c>
      <c r="C51" s="5"/>
      <c r="D51" s="5"/>
      <c r="E51" s="5"/>
      <c r="F51" s="5"/>
      <c r="G51" s="5"/>
      <c r="H51" s="5"/>
      <c r="I51" s="5"/>
      <c r="J51" s="5"/>
    </row>
    <row r="52" spans="1:10" ht="15.75" thickBot="1" x14ac:dyDescent="0.3">
      <c r="A52" s="5"/>
      <c r="B52" s="5"/>
      <c r="C52" s="5"/>
      <c r="D52" s="5"/>
      <c r="E52" s="5"/>
      <c r="F52" s="5"/>
      <c r="G52" s="146" t="s">
        <v>73</v>
      </c>
      <c r="H52" s="147"/>
      <c r="I52" s="148"/>
      <c r="J52" s="5"/>
    </row>
    <row r="53" spans="1:10" x14ac:dyDescent="0.25">
      <c r="A53" s="5"/>
      <c r="B53" s="89" t="s">
        <v>20</v>
      </c>
      <c r="C53" s="30" t="s">
        <v>21</v>
      </c>
      <c r="D53" s="30">
        <v>2.5489999999999999</v>
      </c>
      <c r="E53" s="90" t="s">
        <v>22</v>
      </c>
      <c r="F53" s="30"/>
      <c r="G53" s="14">
        <f>G26*1000*$D$53/100</f>
        <v>382.35</v>
      </c>
      <c r="H53" s="14">
        <f>H26*1000*$D$53/100</f>
        <v>280.39</v>
      </c>
      <c r="I53" s="16">
        <f>I26*1000*$D$53/100</f>
        <v>178.43</v>
      </c>
      <c r="J53" s="5"/>
    </row>
    <row r="54" spans="1:10" ht="18" thickBot="1" x14ac:dyDescent="0.3">
      <c r="A54" s="5"/>
      <c r="B54" s="91"/>
      <c r="C54" s="92" t="s">
        <v>89</v>
      </c>
      <c r="D54" s="93">
        <v>10.83</v>
      </c>
      <c r="E54" s="38"/>
      <c r="F54" s="38"/>
      <c r="G54" s="94">
        <f>$D$54/730*$G28</f>
        <v>95.86775342465755</v>
      </c>
      <c r="H54" s="94">
        <f>$D$54/730*$G28</f>
        <v>95.86775342465755</v>
      </c>
      <c r="I54" s="95">
        <f t="shared" ref="I54" si="13">$D$54/730*$G28</f>
        <v>95.86775342465755</v>
      </c>
      <c r="J54" s="5"/>
    </row>
    <row r="55" spans="1:10" ht="15.75" thickBot="1" x14ac:dyDescent="0.3">
      <c r="A55" s="5"/>
      <c r="B55" s="6"/>
      <c r="C55" s="6"/>
      <c r="D55" s="6"/>
      <c r="E55" s="6"/>
      <c r="F55" s="8" t="s">
        <v>23</v>
      </c>
      <c r="G55" s="9">
        <f>SUM(G53:G54)</f>
        <v>478.21775342465759</v>
      </c>
      <c r="H55" s="9">
        <f>SUM(H53:H54)</f>
        <v>376.25775342465755</v>
      </c>
      <c r="I55" s="10">
        <f>SUM(I53:I54)</f>
        <v>274.29775342465757</v>
      </c>
      <c r="J55" s="5"/>
    </row>
    <row r="56" spans="1:1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8" thickBot="1" x14ac:dyDescent="0.3">
      <c r="A58" s="28">
        <v>4</v>
      </c>
      <c r="B58" s="28" t="s">
        <v>40</v>
      </c>
      <c r="C58" s="5"/>
      <c r="D58" s="6"/>
      <c r="E58" s="5"/>
      <c r="F58" s="5"/>
      <c r="G58" s="5"/>
      <c r="H58" s="5"/>
      <c r="I58" s="5"/>
      <c r="J58" s="5"/>
    </row>
    <row r="59" spans="1:10" ht="15.75" thickBot="1" x14ac:dyDescent="0.3">
      <c r="A59" s="5"/>
      <c r="B59" s="5"/>
      <c r="C59" s="5"/>
      <c r="D59" s="19" t="s">
        <v>26</v>
      </c>
      <c r="E59" s="76" t="s">
        <v>41</v>
      </c>
      <c r="F59" s="5"/>
      <c r="G59" s="143" t="s">
        <v>72</v>
      </c>
      <c r="H59" s="144"/>
      <c r="I59" s="145"/>
      <c r="J59" s="5"/>
    </row>
    <row r="60" spans="1:10" x14ac:dyDescent="0.25">
      <c r="A60" s="5"/>
      <c r="B60" s="89" t="s">
        <v>28</v>
      </c>
      <c r="C60" s="96" t="s">
        <v>25</v>
      </c>
      <c r="D60" s="97">
        <v>353.98</v>
      </c>
      <c r="E60" s="98">
        <f>D60/730</f>
        <v>0.48490410958904112</v>
      </c>
      <c r="F60" s="98"/>
      <c r="G60" s="99">
        <f>$D60*G$27/$C$9</f>
        <v>7.8336258904109597</v>
      </c>
      <c r="H60" s="100">
        <f t="shared" ref="H60:I67" si="14">$D60*H$27/$C$9</f>
        <v>5.7446589863013697</v>
      </c>
      <c r="I60" s="101">
        <f t="shared" si="14"/>
        <v>3.6556920821917811</v>
      </c>
      <c r="J60" s="5"/>
    </row>
    <row r="61" spans="1:10" x14ac:dyDescent="0.25">
      <c r="A61" s="5"/>
      <c r="B61" s="102" t="s">
        <v>29</v>
      </c>
      <c r="C61" s="103" t="s">
        <v>27</v>
      </c>
      <c r="D61" s="104">
        <v>182.76</v>
      </c>
      <c r="E61" s="105">
        <f t="shared" ref="E61:E67" si="15">D61/730</f>
        <v>0.25035616438356162</v>
      </c>
      <c r="F61" s="106"/>
      <c r="G61" s="107">
        <f t="shared" ref="G61:G67" si="16">$D61*G$27/$C$9</f>
        <v>4.044503835616438</v>
      </c>
      <c r="H61" s="108">
        <f t="shared" si="14"/>
        <v>2.9659694794520544</v>
      </c>
      <c r="I61" s="109">
        <f t="shared" si="14"/>
        <v>1.8874351232876712</v>
      </c>
      <c r="J61" s="5"/>
    </row>
    <row r="62" spans="1:10" x14ac:dyDescent="0.25">
      <c r="A62" s="5"/>
      <c r="B62" s="102" t="s">
        <v>32</v>
      </c>
      <c r="C62" s="103" t="s">
        <v>30</v>
      </c>
      <c r="D62" s="104">
        <v>217.06</v>
      </c>
      <c r="E62" s="105">
        <f t="shared" si="15"/>
        <v>0.29734246575342466</v>
      </c>
      <c r="F62" s="6"/>
      <c r="G62" s="107">
        <f t="shared" si="16"/>
        <v>4.803567534246576</v>
      </c>
      <c r="H62" s="108">
        <f t="shared" si="14"/>
        <v>3.5226161917808216</v>
      </c>
      <c r="I62" s="109">
        <f t="shared" si="14"/>
        <v>2.2416648493150686</v>
      </c>
      <c r="J62" s="5"/>
    </row>
    <row r="63" spans="1:10" x14ac:dyDescent="0.25">
      <c r="A63" s="5"/>
      <c r="B63" s="102" t="s">
        <v>31</v>
      </c>
      <c r="C63" s="103" t="s">
        <v>30</v>
      </c>
      <c r="D63" s="104">
        <v>776.85</v>
      </c>
      <c r="E63" s="105">
        <f t="shared" si="15"/>
        <v>1.0641780821917808</v>
      </c>
      <c r="F63" s="6"/>
      <c r="G63" s="107">
        <f t="shared" si="16"/>
        <v>17.191796917808222</v>
      </c>
      <c r="H63" s="108">
        <f t="shared" si="14"/>
        <v>12.607317739726028</v>
      </c>
      <c r="I63" s="109">
        <f t="shared" si="14"/>
        <v>8.0228385616438356</v>
      </c>
      <c r="J63" s="5"/>
    </row>
    <row r="64" spans="1:10" x14ac:dyDescent="0.25">
      <c r="A64" s="5"/>
      <c r="B64" s="102" t="s">
        <v>34</v>
      </c>
      <c r="C64" s="103" t="s">
        <v>33</v>
      </c>
      <c r="D64" s="104">
        <v>166.58</v>
      </c>
      <c r="E64" s="105">
        <f t="shared" si="15"/>
        <v>0.22819178082191782</v>
      </c>
      <c r="F64" s="6"/>
      <c r="G64" s="107">
        <f t="shared" si="16"/>
        <v>3.6864382191780831</v>
      </c>
      <c r="H64" s="108">
        <f t="shared" si="14"/>
        <v>2.7033880273972604</v>
      </c>
      <c r="I64" s="109">
        <f t="shared" si="14"/>
        <v>1.7203378356164385</v>
      </c>
      <c r="J64" s="5"/>
    </row>
    <row r="65" spans="1:10" x14ac:dyDescent="0.25">
      <c r="A65" s="5"/>
      <c r="B65" s="102" t="s">
        <v>36</v>
      </c>
      <c r="C65" s="103" t="s">
        <v>35</v>
      </c>
      <c r="D65" s="104">
        <v>331.83</v>
      </c>
      <c r="E65" s="105">
        <f t="shared" si="15"/>
        <v>0.45456164383561642</v>
      </c>
      <c r="F65" s="6"/>
      <c r="G65" s="107">
        <f t="shared" si="16"/>
        <v>7.343443356164383</v>
      </c>
      <c r="H65" s="108">
        <f t="shared" si="14"/>
        <v>5.3851917945205479</v>
      </c>
      <c r="I65" s="109">
        <f t="shared" si="14"/>
        <v>3.4269402328767122</v>
      </c>
      <c r="J65" s="5"/>
    </row>
    <row r="66" spans="1:10" x14ac:dyDescent="0.25">
      <c r="A66" s="5"/>
      <c r="B66" s="102" t="s">
        <v>37</v>
      </c>
      <c r="C66" s="103" t="s">
        <v>35</v>
      </c>
      <c r="D66" s="104">
        <v>281.23</v>
      </c>
      <c r="E66" s="105">
        <f t="shared" si="15"/>
        <v>0.38524657534246576</v>
      </c>
      <c r="F66" s="6"/>
      <c r="G66" s="107">
        <f t="shared" si="16"/>
        <v>6.2236584246575344</v>
      </c>
      <c r="H66" s="108">
        <f t="shared" si="14"/>
        <v>4.5640161780821922</v>
      </c>
      <c r="I66" s="109">
        <f t="shared" si="14"/>
        <v>2.9043739315068495</v>
      </c>
      <c r="J66" s="5"/>
    </row>
    <row r="67" spans="1:10" ht="15.75" thickBot="1" x14ac:dyDescent="0.3">
      <c r="A67" s="5"/>
      <c r="B67" s="91" t="s">
        <v>70</v>
      </c>
      <c r="C67" s="110" t="s">
        <v>38</v>
      </c>
      <c r="D67" s="93">
        <v>4241.21</v>
      </c>
      <c r="E67" s="111">
        <f t="shared" si="15"/>
        <v>5.8098767123287676</v>
      </c>
      <c r="F67" s="38"/>
      <c r="G67" s="112">
        <f t="shared" si="16"/>
        <v>93.858558287671229</v>
      </c>
      <c r="H67" s="113">
        <f t="shared" si="14"/>
        <v>68.829609410958895</v>
      </c>
      <c r="I67" s="114">
        <f t="shared" si="14"/>
        <v>43.800660534246575</v>
      </c>
      <c r="J67" s="5"/>
    </row>
    <row r="68" spans="1:10" ht="15.75" thickBot="1" x14ac:dyDescent="0.3">
      <c r="A68" s="5"/>
      <c r="B68" s="5"/>
      <c r="C68" s="5"/>
      <c r="D68" s="5"/>
      <c r="E68" s="5"/>
      <c r="F68" s="23" t="s">
        <v>39</v>
      </c>
      <c r="G68" s="25">
        <f>SUM(G60:G67)</f>
        <v>144.98559246575343</v>
      </c>
      <c r="H68" s="25">
        <f t="shared" ref="H68:I68" si="17">SUM(H60:H67)</f>
        <v>106.32276780821917</v>
      </c>
      <c r="I68" s="26">
        <f t="shared" si="17"/>
        <v>67.659943150684938</v>
      </c>
      <c r="J68" s="5"/>
    </row>
    <row r="69" spans="1:10" x14ac:dyDescent="0.25">
      <c r="A69" s="5"/>
      <c r="B69" s="5"/>
      <c r="C69" s="5"/>
      <c r="D69" s="5"/>
      <c r="E69" s="5"/>
      <c r="F69" s="5"/>
      <c r="G69" s="115"/>
      <c r="H69" s="5"/>
      <c r="I69" s="5"/>
      <c r="J69" s="5"/>
    </row>
    <row r="70" spans="1:10" x14ac:dyDescent="0.25">
      <c r="A70" s="5"/>
      <c r="B70" s="5"/>
      <c r="C70" s="5"/>
      <c r="D70" s="5"/>
      <c r="E70" s="5"/>
      <c r="F70" s="5"/>
      <c r="G70" s="115"/>
      <c r="H70" s="5"/>
      <c r="I70" s="5"/>
      <c r="J70" s="5"/>
    </row>
    <row r="71" spans="1:10" ht="15.75" thickBot="1" x14ac:dyDescent="0.3">
      <c r="A71" s="28">
        <v>5</v>
      </c>
      <c r="B71" s="28" t="s">
        <v>93</v>
      </c>
      <c r="C71" s="5"/>
      <c r="D71" s="5"/>
      <c r="E71" s="5"/>
      <c r="F71" s="5"/>
      <c r="G71" s="116"/>
      <c r="H71" s="116"/>
      <c r="I71" s="116"/>
      <c r="J71" s="5"/>
    </row>
    <row r="72" spans="1:10" x14ac:dyDescent="0.25">
      <c r="A72" s="5"/>
      <c r="B72" s="29" t="s">
        <v>94</v>
      </c>
      <c r="C72" s="30"/>
      <c r="D72" s="30"/>
      <c r="E72" s="30"/>
      <c r="F72" s="31"/>
      <c r="G72" s="137">
        <f>G43</f>
        <v>2.1250000000000004</v>
      </c>
      <c r="H72" s="137">
        <f>H43</f>
        <v>2.1250000000000004</v>
      </c>
      <c r="I72" s="138">
        <f>I43</f>
        <v>2.1250000000000004</v>
      </c>
      <c r="J72" s="5"/>
    </row>
    <row r="73" spans="1:10" x14ac:dyDescent="0.25">
      <c r="A73" s="5"/>
      <c r="B73" s="32" t="s">
        <v>95</v>
      </c>
      <c r="C73" s="33"/>
      <c r="D73" s="33"/>
      <c r="E73" s="33"/>
      <c r="F73" s="34"/>
      <c r="G73" s="117">
        <f>G72*1000*$C$13/730</f>
        <v>15.631849315068497</v>
      </c>
      <c r="H73" s="117">
        <f t="shared" ref="H73" si="18">H72*1000*$C$13/730</f>
        <v>15.631849315068497</v>
      </c>
      <c r="I73" s="118">
        <f>I72*1000*$C$13/730</f>
        <v>15.631849315068497</v>
      </c>
      <c r="J73" s="5"/>
    </row>
    <row r="74" spans="1:10" x14ac:dyDescent="0.25">
      <c r="A74" s="5"/>
      <c r="B74" s="35" t="s">
        <v>96</v>
      </c>
      <c r="C74" s="6"/>
      <c r="D74" s="6"/>
      <c r="E74" s="6"/>
      <c r="F74" s="36"/>
      <c r="G74" s="79">
        <f>G27-G29</f>
        <v>14.665623777864687</v>
      </c>
      <c r="H74" s="79">
        <f>H27-H29</f>
        <v>9.7770825185764583</v>
      </c>
      <c r="I74" s="119">
        <f>I27-I29</f>
        <v>7.5389999999999997</v>
      </c>
      <c r="J74" s="5"/>
    </row>
    <row r="75" spans="1:10" ht="15.75" thickBot="1" x14ac:dyDescent="0.3">
      <c r="A75" s="5"/>
      <c r="B75" s="37" t="s">
        <v>97</v>
      </c>
      <c r="C75" s="38"/>
      <c r="D75" s="38"/>
      <c r="E75" s="38"/>
      <c r="F75" s="39"/>
      <c r="G75" s="120">
        <f>G74*1000*$C$14/100</f>
        <v>485.28549080954247</v>
      </c>
      <c r="H75" s="120">
        <f t="shared" ref="H75" si="19">H74*1000*$C$14/100</f>
        <v>323.52366053969507</v>
      </c>
      <c r="I75" s="121">
        <f>I74*1000*$C$14/100</f>
        <v>249.46550999999999</v>
      </c>
      <c r="J75" s="5"/>
    </row>
    <row r="76" spans="1:10" ht="15.75" thickBot="1" x14ac:dyDescent="0.3">
      <c r="A76" s="5"/>
      <c r="B76" s="40"/>
      <c r="C76" s="6"/>
      <c r="D76" s="6"/>
      <c r="E76" s="6"/>
      <c r="F76" s="8" t="s">
        <v>98</v>
      </c>
      <c r="G76" s="122">
        <f>G75+G73</f>
        <v>500.91734012461097</v>
      </c>
      <c r="H76" s="122">
        <f t="shared" ref="H76:I76" si="20">H75+H73</f>
        <v>339.15550985476358</v>
      </c>
      <c r="I76" s="123">
        <f t="shared" si="20"/>
        <v>265.0973593150685</v>
      </c>
      <c r="J76" s="5"/>
    </row>
    <row r="77" spans="1:10" x14ac:dyDescent="0.25">
      <c r="A77" s="5"/>
      <c r="B77" s="40"/>
      <c r="C77" s="6"/>
      <c r="D77" s="6"/>
      <c r="E77" s="6"/>
      <c r="F77" s="6"/>
      <c r="G77" s="6"/>
      <c r="H77" s="6"/>
      <c r="I77" s="6"/>
      <c r="J77" s="5"/>
    </row>
    <row r="78" spans="1:10" ht="15.75" thickBot="1" x14ac:dyDescent="0.3">
      <c r="A78" s="28">
        <v>6</v>
      </c>
      <c r="B78" s="41" t="s">
        <v>99</v>
      </c>
      <c r="C78" s="6"/>
      <c r="D78" s="6"/>
      <c r="E78" s="6"/>
      <c r="F78" s="6"/>
      <c r="G78" s="6"/>
      <c r="H78" s="6"/>
      <c r="I78" s="6"/>
      <c r="J78" s="5"/>
    </row>
    <row r="79" spans="1:10" x14ac:dyDescent="0.25">
      <c r="A79" s="5"/>
      <c r="B79" s="29" t="s">
        <v>100</v>
      </c>
      <c r="C79" s="30"/>
      <c r="D79" s="30"/>
      <c r="E79" s="30"/>
      <c r="F79" s="30"/>
      <c r="G79" s="124">
        <f>G33+G34+G53+G75</f>
        <v>1015.9624687719985</v>
      </c>
      <c r="H79" s="124">
        <f>H33+H34+H53+H75</f>
        <v>810.05674251466553</v>
      </c>
      <c r="I79" s="125">
        <f>I33+I34+I53+I75</f>
        <v>52.322436906530982</v>
      </c>
      <c r="J79" s="5"/>
    </row>
    <row r="80" spans="1:10" x14ac:dyDescent="0.25">
      <c r="A80" s="5"/>
      <c r="B80" s="35" t="s">
        <v>101</v>
      </c>
      <c r="C80" s="6"/>
      <c r="D80" s="6"/>
      <c r="E80" s="6"/>
      <c r="F80" s="6"/>
      <c r="G80" s="126">
        <f>G46+G68+G73</f>
        <v>263.82442808219179</v>
      </c>
      <c r="H80" s="126">
        <f>H46+H68+H73</f>
        <v>193.47124726027397</v>
      </c>
      <c r="I80" s="127">
        <f>I46+I68+I73</f>
        <v>123.11806643835617</v>
      </c>
      <c r="J80" s="5"/>
    </row>
    <row r="81" spans="1:10" ht="15.75" thickBot="1" x14ac:dyDescent="0.3">
      <c r="A81" s="5"/>
      <c r="B81" s="37" t="s">
        <v>102</v>
      </c>
      <c r="C81" s="38"/>
      <c r="D81" s="38"/>
      <c r="E81" s="38"/>
      <c r="F81" s="38"/>
      <c r="G81" s="128">
        <f>G35+G47+G54</f>
        <v>98.752767123287683</v>
      </c>
      <c r="H81" s="128">
        <f>H35+H47+H54</f>
        <v>98.752767123287683</v>
      </c>
      <c r="I81" s="129">
        <f>I35+I47+I54</f>
        <v>98.752767123287683</v>
      </c>
      <c r="J81" s="5"/>
    </row>
    <row r="82" spans="1:10" ht="15.75" thickBot="1" x14ac:dyDescent="0.3">
      <c r="A82" s="5"/>
      <c r="B82" s="42" t="s">
        <v>103</v>
      </c>
      <c r="C82" s="6"/>
      <c r="D82" s="6"/>
      <c r="E82" s="6"/>
      <c r="F82" s="8"/>
      <c r="G82" s="130">
        <f>SUM(G79:G81)</f>
        <v>1378.5396639774779</v>
      </c>
      <c r="H82" s="130">
        <f t="shared" ref="H82:I82" si="21">SUM(H79:H81)</f>
        <v>1102.2807568982271</v>
      </c>
      <c r="I82" s="131">
        <f t="shared" si="21"/>
        <v>274.19327046817483</v>
      </c>
      <c r="J82" s="5"/>
    </row>
    <row r="83" spans="1:10" x14ac:dyDescent="0.25">
      <c r="A83" s="5"/>
      <c r="B83" s="43"/>
      <c r="C83" s="6"/>
      <c r="D83" s="6"/>
      <c r="E83" s="6"/>
      <c r="F83" s="1"/>
      <c r="G83" s="126"/>
      <c r="H83" s="126"/>
      <c r="I83" s="126"/>
      <c r="J83" s="5"/>
    </row>
    <row r="84" spans="1:10" x14ac:dyDescent="0.25">
      <c r="A84" s="5"/>
      <c r="B84" s="43"/>
      <c r="C84" s="6"/>
      <c r="D84" s="6"/>
      <c r="E84" s="6"/>
      <c r="F84" s="1"/>
      <c r="G84" s="126"/>
      <c r="H84" s="126"/>
      <c r="I84" s="126"/>
      <c r="J84" s="5"/>
    </row>
    <row r="85" spans="1:10" ht="15.75" thickBot="1" x14ac:dyDescent="0.3">
      <c r="A85" s="28">
        <v>7</v>
      </c>
      <c r="B85" s="41" t="s">
        <v>104</v>
      </c>
      <c r="C85" s="6"/>
      <c r="D85" s="6"/>
      <c r="E85" s="6"/>
      <c r="F85" s="6"/>
      <c r="G85" s="126"/>
      <c r="H85" s="126"/>
      <c r="I85" s="126"/>
      <c r="J85" s="5"/>
    </row>
    <row r="86" spans="1:10" x14ac:dyDescent="0.25">
      <c r="A86" s="5"/>
      <c r="B86" s="29" t="s">
        <v>100</v>
      </c>
      <c r="C86" s="30"/>
      <c r="D86" s="30"/>
      <c r="E86" s="30"/>
      <c r="F86" s="30"/>
      <c r="G86" s="124">
        <f>G79/G$26</f>
        <v>67.730831251466569</v>
      </c>
      <c r="H86" s="124">
        <f t="shared" ref="H86:I88" si="22">H79/H$26</f>
        <v>73.64152204678777</v>
      </c>
      <c r="I86" s="125">
        <f t="shared" si="22"/>
        <v>7.4746338437901398</v>
      </c>
      <c r="J86" s="5"/>
    </row>
    <row r="87" spans="1:10" x14ac:dyDescent="0.25">
      <c r="A87" s="5"/>
      <c r="B87" s="35" t="s">
        <v>101</v>
      </c>
      <c r="C87" s="6"/>
      <c r="D87" s="6"/>
      <c r="E87" s="6"/>
      <c r="F87" s="6"/>
      <c r="G87" s="126">
        <f>G80/G$26</f>
        <v>17.588295205479451</v>
      </c>
      <c r="H87" s="126">
        <f t="shared" si="22"/>
        <v>17.588295205479451</v>
      </c>
      <c r="I87" s="127">
        <f t="shared" si="22"/>
        <v>17.588295205479451</v>
      </c>
      <c r="J87" s="5"/>
    </row>
    <row r="88" spans="1:10" ht="15.75" thickBot="1" x14ac:dyDescent="0.3">
      <c r="A88" s="5"/>
      <c r="B88" s="37" t="s">
        <v>102</v>
      </c>
      <c r="C88" s="38"/>
      <c r="D88" s="38"/>
      <c r="E88" s="38"/>
      <c r="F88" s="38"/>
      <c r="G88" s="128">
        <f>G81/G$26</f>
        <v>6.5835178082191792</v>
      </c>
      <c r="H88" s="128">
        <f t="shared" si="22"/>
        <v>8.977524283935244</v>
      </c>
      <c r="I88" s="129">
        <f t="shared" si="22"/>
        <v>14.107538160469669</v>
      </c>
      <c r="J88" s="5"/>
    </row>
    <row r="89" spans="1:10" ht="15.75" thickBot="1" x14ac:dyDescent="0.3">
      <c r="A89" s="5"/>
      <c r="B89" s="1" t="s">
        <v>105</v>
      </c>
      <c r="C89" s="6"/>
      <c r="D89" s="6"/>
      <c r="E89" s="6"/>
      <c r="F89" s="5"/>
      <c r="G89" s="132">
        <f>SUM(G86:G88)</f>
        <v>91.902644265165208</v>
      </c>
      <c r="H89" s="128">
        <f t="shared" ref="H89:I89" si="23">SUM(H86:H88)</f>
        <v>100.20734153620246</v>
      </c>
      <c r="I89" s="129">
        <f t="shared" si="23"/>
        <v>39.170467209739257</v>
      </c>
      <c r="J89" s="5"/>
    </row>
    <row r="90" spans="1:10" x14ac:dyDescent="0.25">
      <c r="A90" s="5"/>
      <c r="B90" s="5"/>
      <c r="C90" s="5"/>
      <c r="D90" s="5"/>
      <c r="E90" s="5"/>
      <c r="F90" s="5"/>
      <c r="G90" s="115"/>
      <c r="H90" s="5"/>
      <c r="I90" s="5"/>
      <c r="J90" s="5"/>
    </row>
    <row r="91" spans="1:10" x14ac:dyDescent="0.25">
      <c r="A91" s="5"/>
      <c r="B91" s="5"/>
      <c r="C91" s="5"/>
      <c r="D91" s="5"/>
      <c r="E91" s="5"/>
      <c r="F91" s="5"/>
      <c r="G91" s="115"/>
      <c r="H91" s="5"/>
      <c r="I91" s="5"/>
      <c r="J91" s="5"/>
    </row>
    <row r="92" spans="1:10" x14ac:dyDescent="0.25">
      <c r="A92" s="5"/>
      <c r="B92" s="5"/>
      <c r="C92" s="5"/>
      <c r="D92" s="5"/>
      <c r="E92" s="5"/>
      <c r="F92" s="5"/>
      <c r="G92" s="116"/>
      <c r="H92" s="5"/>
      <c r="I92" s="5"/>
      <c r="J92" s="5"/>
    </row>
    <row r="93" spans="1:10" x14ac:dyDescent="0.25">
      <c r="G93" s="27"/>
    </row>
    <row r="94" spans="1:10" x14ac:dyDescent="0.25">
      <c r="G94" s="4"/>
    </row>
    <row r="95" spans="1:10" x14ac:dyDescent="0.25">
      <c r="G95" s="4"/>
      <c r="H95" s="4"/>
      <c r="I95" s="4"/>
    </row>
  </sheetData>
  <mergeCells count="5">
    <mergeCell ref="G16:I16"/>
    <mergeCell ref="A17:C17"/>
    <mergeCell ref="G17:I17"/>
    <mergeCell ref="G59:I59"/>
    <mergeCell ref="G52:I52"/>
  </mergeCells>
  <pageMargins left="0.7" right="0.7" top="0.75" bottom="0.75" header="0.3" footer="0.3"/>
  <pageSetup paperSize="17" scale="84" fitToHeight="0" orientation="landscape" r:id="rId1"/>
  <rowBreaks count="1" manualBreakCount="1">
    <brk id="4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_Requester xmlns="41f3e0a1-4e80-4541-910a-bf1ec6557a72">42</IR_Requester>
    <IR_Topic xmlns="41f3e0a1-4e80-4541-910a-bf1ec6557a72">24</IR_Topic>
    <IR_Sorting xmlns="41f3e0a1-4e80-4541-910a-bf1ec6557a72">01 Received</IR_Sorting>
    <IR_Description xmlns="41f3e0a1-4e80-4541-910a-bf1ec6557a72">Update SWFI DR-01 and -02 with latest rates and tariffs </IR_Description>
    <IR_Filing_Date xmlns="41f3e0a1-4e80-4541-910a-bf1ec6557a72" xsi:nil="true"/>
    <IR_Status xmlns="41f3e0a1-4e80-4541-910a-bf1ec6557a72">31</IR_Status>
    <IR_Owner xmlns="41f3e0a1-4e80-4541-910a-bf1ec6557a72">ELLIS, BILL</IR_Owner>
    <IR_Received_Date xmlns="41f3e0a1-4e80-4541-910a-bf1ec6557a72" xsi:nil="true"/>
    <IR_Subtopic xmlns="41f3e0a1-4e80-4541-910a-bf1ec6557a72">242</IR_Subtopic>
    <IR_x002d_Writer xmlns="41f3e0a1-4e80-4541-910a-bf1ec6557a72">CHARLTON, JOHN</IR_x002d_Writ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CA43651B6D44DB2E987BE979031C4" ma:contentTypeVersion="13" ma:contentTypeDescription="Create a new document." ma:contentTypeScope="" ma:versionID="1d2c6061b22c416835971d1d5f7588b9">
  <xsd:schema xmlns:xsd="http://www.w3.org/2001/XMLSchema" xmlns:xs="http://www.w3.org/2001/XMLSchema" xmlns:p="http://schemas.microsoft.com/office/2006/metadata/properties" xmlns:ns2="41f3e0a1-4e80-4541-910a-bf1ec6557a72" targetNamespace="http://schemas.microsoft.com/office/2006/metadata/properties" ma:root="true" ma:fieldsID="ae5b8b010e7a0c478bfddd2785b4eb64" ns2:_="">
    <xsd:import namespace="41f3e0a1-4e80-4541-910a-bf1ec6557a72"/>
    <xsd:element name="properties">
      <xsd:complexType>
        <xsd:sequence>
          <xsd:element name="documentManagement">
            <xsd:complexType>
              <xsd:all>
                <xsd:element ref="ns2:IR_Status" minOccurs="0"/>
                <xsd:element ref="ns2:IR_Description" minOccurs="0"/>
                <xsd:element ref="ns2:IR_Filing_Date" minOccurs="0"/>
                <xsd:element ref="ns2:IR_Requester" minOccurs="0"/>
                <xsd:element ref="ns2:IR_x002d_Writer" minOccurs="0"/>
                <xsd:element ref="ns2:IR_Owner" minOccurs="0"/>
                <xsd:element ref="ns2:IR_Received_Date" minOccurs="0"/>
                <xsd:element ref="ns2:IR_Sorting" minOccurs="0"/>
                <xsd:element ref="ns2:IR_Topic" minOccurs="0"/>
                <xsd:element ref="ns2:IR_Sub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3e0a1-4e80-4541-910a-bf1ec6557a72" elementFormDefault="qualified">
    <xsd:import namespace="http://schemas.microsoft.com/office/2006/documentManagement/types"/>
    <xsd:import namespace="http://schemas.microsoft.com/office/infopath/2007/PartnerControls"/>
    <xsd:element name="IR_Status" ma:index="2" nillable="true" ma:displayName="Status_" ma:description="Default is: 02A Writers - Write" ma:list="{b45a5fc1-7f3d-4118-9252-18046df1b90a}" ma:internalName="IR_Status" ma:showField="Title">
      <xsd:simpleType>
        <xsd:restriction base="dms:Lookup"/>
      </xsd:simpleType>
    </xsd:element>
    <xsd:element name="IR_Description" ma:index="3" nillable="true" ma:displayName="IR_Description" ma:internalName="IR_Description">
      <xsd:simpleType>
        <xsd:restriction base="dms:Note">
          <xsd:maxLength value="255"/>
        </xsd:restriction>
      </xsd:simpleType>
    </xsd:element>
    <xsd:element name="IR_Filing_Date" ma:index="4" nillable="true" ma:displayName="IR_Filing_Date" ma:description="Default value to be modified to reflect date the IRs are to be filed" ma:format="DateOnly" ma:internalName="IR_Filing_Date">
      <xsd:simpleType>
        <xsd:restriction base="dms:DateTime"/>
      </xsd:simpleType>
    </xsd:element>
    <xsd:element name="IR_Requester" ma:index="5" nillable="true" ma:displayName="IR_Requester" ma:description="Indicate the Organization that requested the IR when uploading documents or attachments." ma:list="{07b79d5f-e075-49b8-abde-d53636412323}" ma:internalName="IR_Requester" ma:showField="Title">
      <xsd:simpleType>
        <xsd:restriction base="dms:Lookup"/>
      </xsd:simpleType>
    </xsd:element>
    <xsd:element name="IR_x002d_Writer" ma:index="6" nillable="true" ma:displayName="IR_Writer" ma:description="Indicate the Writer when uploading documents or attachments" ma:format="Dropdown" ma:internalName="IR_x002d_Writer">
      <xsd:simpleType>
        <xsd:union memberTypes="dms:Text">
          <xsd:simpleType>
            <xsd:restriction base="dms:Choice">
              <xsd:enumeration value="(select...)"/>
              <xsd:enumeration value="CARY, ROB"/>
              <xsd:enumeration value="CHARLTON, JOHN"/>
              <xsd:enumeration value="CURRY, BRIAN"/>
              <xsd:enumeration value="ELLIS, BILL"/>
              <xsd:enumeration value="FERGUSON, ERIC"/>
              <xsd:enumeration value="GRUS, VOYTEK"/>
              <xsd:enumeration value="KELLY, DAVE"/>
              <xsd:enumeration value="LEFLER, LINDA"/>
              <xsd:enumeration value="MACKILLOP, IAN"/>
              <xsd:enumeration value="MILLIGAN, CHRIS"/>
              <xsd:enumeration value="MILOJEVIC, MILA"/>
              <xsd:enumeration value="PECURICA, DRAGAN"/>
              <xsd:enumeration value="VAN VUREN, ZAK"/>
            </xsd:restriction>
          </xsd:simpleType>
        </xsd:union>
      </xsd:simpleType>
    </xsd:element>
    <xsd:element name="IR_Owner" ma:index="7" nillable="true" ma:displayName="IR_Owner" ma:description="Indicate the Owner when uploading documents or attachments; revise for each proceeding" ma:format="Dropdown" ma:internalName="IR_Owner">
      <xsd:simpleType>
        <xsd:restriction base="dms:Choice">
          <xsd:enumeration value="(select...)"/>
          <xsd:enumeration value="CASEY, PAUL"/>
          <xsd:enumeration value="CURRY, BRIAN"/>
          <xsd:enumeration value="ELLIS, BILL"/>
          <xsd:enumeration value="FERGUSON, ERIC"/>
          <xsd:enumeration value="IRVING, SASHA"/>
          <xsd:enumeration value="PARKER, JENNIFER"/>
        </xsd:restriction>
      </xsd:simpleType>
    </xsd:element>
    <xsd:element name="IR_Received_Date" ma:index="8" nillable="true" ma:displayName="IR_Received_Date" ma:description="Default value to be modified to reflect date the IRs are received" ma:format="DateOnly" ma:internalName="IR_Received_Date">
      <xsd:simpleType>
        <xsd:restriction base="dms:DateTime"/>
      </xsd:simpleType>
    </xsd:element>
    <xsd:element name="IR_Sorting" ma:index="9" nillable="true" ma:displayName="IR_Sorting" ma:default="completed by RA" ma:description="Completed by RA." ma:format="Dropdown" ma:internalName="IR_Sorting">
      <xsd:simpleType>
        <xsd:restriction base="dms:Choice">
          <xsd:enumeration value="completed by RA"/>
          <xsd:enumeration value="01 Received"/>
          <xsd:enumeration value="12 Filed"/>
          <xsd:enumeration value="IR 001-025"/>
          <xsd:enumeration value="IR 026-050"/>
          <xsd:enumeration value="IR 051-075"/>
          <xsd:enumeration value="IR 076-100"/>
          <xsd:enumeration value="IR 101-125"/>
          <xsd:enumeration value="IR 126-150"/>
          <xsd:enumeration value="IR 151-175"/>
          <xsd:enumeration value="IR 176-200"/>
        </xsd:restriction>
      </xsd:simpleType>
    </xsd:element>
    <xsd:element name="IR_Topic" ma:index="10" nillable="true" ma:displayName="IR_Topic" ma:list="{c529b047-0ec8-424a-816e-063d99ea71b7}" ma:internalName="IR_Topic" ma:showField="Title">
      <xsd:simpleType>
        <xsd:restriction base="dms:Lookup"/>
      </xsd:simpleType>
    </xsd:element>
    <xsd:element name="IR_Subtopic" ma:index="11" nillable="true" ma:displayName="IR_Subtopic" ma:list="{1f382bfa-7888-4b77-9bc7-dccb2f111d82}" ma:internalName="IR_Subtopic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95BD8-C8DF-454D-953E-9436F744B03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686FAA-C51C-42EB-B86C-3855C732B1F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1f3e0a1-4e80-4541-910a-bf1ec6557a7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7EFAC95-C50A-4CBC-AD04-77B8884176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EEAC25-8E83-4CD7-95B1-6ACA1FA60E07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3F9AAC52-3346-4E11-9CCB-7A37705AC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3e0a1-4e80-4541-910a-bf1ec6557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DR-2</vt:lpstr>
      <vt:lpstr>'DR-2'!Print_Area</vt:lpstr>
      <vt:lpstr>'DR-2'!Print_Titles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Ellis, Bill</dc:creator>
  <cp:lastModifiedBy>SUTHERLAND, LAURA</cp:lastModifiedBy>
  <cp:lastPrinted>2015-10-01T16:09:26Z</cp:lastPrinted>
  <dcterms:created xsi:type="dcterms:W3CDTF">2015-06-25T14:55:28Z</dcterms:created>
  <dcterms:modified xsi:type="dcterms:W3CDTF">2015-10-08T19:02:37Z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0x010100809CA43651B6D44DB2E987BE979031C4</vt:lpwstr>
  </property>
  <property fmtid="{D5CDD505-2E9C-101B-9397-08002B2CF9AE}" pid="3" name="Order">
    <vt:r8>8600</vt:r8>
  </property>
</Properties>
</file>